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96" windowWidth="10620" windowHeight="9408" activeTab="0"/>
  </bookViews>
  <sheets>
    <sheet name="Data" sheetId="1" r:id="rId1"/>
    <sheet name="Val" sheetId="2" r:id="rId2"/>
    <sheet name="Calc" sheetId="3" r:id="rId3"/>
    <sheet name="Energy" sheetId="4" state="hidden" r:id="rId4"/>
  </sheets>
  <definedNames>
    <definedName name="_xlnm.Print_Area" localSheetId="0">'Data'!$A$1:$N$44</definedName>
  </definedNames>
  <calcPr fullCalcOnLoad="1"/>
</workbook>
</file>

<file path=xl/comments1.xml><?xml version="1.0" encoding="utf-8"?>
<comments xmlns="http://schemas.openxmlformats.org/spreadsheetml/2006/main">
  <authors>
    <author>Bladt</author>
  </authors>
  <commentList>
    <comment ref="A1" authorId="0">
      <text>
        <r>
          <rPr>
            <sz val="8"/>
            <rFont val="Arial Narrow"/>
            <family val="2"/>
          </rPr>
          <t xml:space="preserve">Stirling engine Type </t>
        </r>
        <r>
          <rPr>
            <sz val="8"/>
            <rFont val="Symbol"/>
            <family val="1"/>
          </rPr>
          <t>a</t>
        </r>
        <r>
          <rPr>
            <sz val="8"/>
            <rFont val="Arial Narrow"/>
            <family val="2"/>
          </rPr>
          <t xml:space="preserve">: Calculation of the p-V-diagram with Schmidt-Analysis with realer kinematic of the piston pas
</t>
        </r>
      </text>
    </comment>
    <comment ref="A2" authorId="0">
      <text>
        <r>
          <rPr>
            <sz val="8"/>
            <rFont val="Tahoma"/>
            <family val="2"/>
          </rPr>
          <t>Values of the geometry and the kinematic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Arial Narrow"/>
            <family val="2"/>
          </rPr>
          <t>Diameter of the piston of hot side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Tahoma"/>
            <family val="2"/>
          </rPr>
          <t>Diameter of the pisten of the cold side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crank radius of thehot side</t>
        </r>
      </text>
    </comment>
    <comment ref="A6" authorId="0">
      <text>
        <r>
          <rPr>
            <sz val="8"/>
            <rFont val="Tahoma"/>
            <family val="2"/>
          </rPr>
          <t>cank radius of the clod side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sz val="8"/>
            <rFont val="Tahoma"/>
            <family val="2"/>
          </rPr>
          <t>length of con-rod of the hot side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sz val="8"/>
            <rFont val="Tahoma"/>
            <family val="2"/>
          </rPr>
          <t>length of con-rod of the cold  side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sz val="8"/>
            <rFont val="Arial Narrow"/>
            <family val="2"/>
          </rPr>
          <t>crank angle of the hot side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>crank angle offset of cold side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sz val="8"/>
            <rFont val="Tahoma"/>
            <family val="2"/>
          </rPr>
          <t>rotary speed of crank shaft (hot + cold side)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Volume of the regenerator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>Dead capacity of hot side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sz val="8"/>
            <rFont val="Tahoma"/>
            <family val="2"/>
          </rPr>
          <t>Dead capacity of the cold side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sz val="8"/>
            <rFont val="Tahoma"/>
            <family val="2"/>
          </rPr>
          <t>caloric and thermodynamic values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sz val="8"/>
            <rFont val="Tahoma"/>
            <family val="2"/>
          </rPr>
          <t>Density of air under norm conditions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sz val="8"/>
            <rFont val="Tahoma"/>
            <family val="2"/>
          </rPr>
          <t>Gas constant of the air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sz val="8"/>
            <rFont val="Tahoma"/>
            <family val="2"/>
          </rPr>
          <t>heat capacity of air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 xml:space="preserve">envirement temperature 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sz val="8"/>
            <rFont val="Tahoma"/>
            <family val="2"/>
          </rPr>
          <t>temperature of the hot side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sz val="8"/>
            <rFont val="Tahoma"/>
            <family val="2"/>
          </rPr>
          <t>temperature of the cold side</t>
        </r>
      </text>
    </comment>
    <comment ref="A22" authorId="0">
      <text>
        <r>
          <rPr>
            <sz val="8"/>
            <rFont val="Tahoma"/>
            <family val="2"/>
          </rPr>
          <t>Temperatur of the regenerator (see results)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sz val="8"/>
            <rFont val="Tahoma"/>
            <family val="2"/>
          </rPr>
          <t>Athmospheric pressure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sz val="9"/>
            <rFont val="Tahoma"/>
            <family val="2"/>
          </rPr>
          <t xml:space="preserve">p-V diagram
</t>
        </r>
      </text>
    </comment>
    <comment ref="A25" authorId="0">
      <text>
        <r>
          <rPr>
            <sz val="8"/>
            <rFont val="Tahoma"/>
            <family val="2"/>
          </rPr>
          <t xml:space="preserve">Preset of angle of the crank shaft (hot side)
</t>
        </r>
      </text>
    </comment>
    <comment ref="A26" authorId="0">
      <text>
        <r>
          <rPr>
            <sz val="9"/>
            <rFont val="Tahoma"/>
            <family val="2"/>
          </rPr>
          <t xml:space="preserve">Orbit in the pV-diagram
</t>
        </r>
      </text>
    </comment>
    <comment ref="A27" authorId="0">
      <text>
        <r>
          <rPr>
            <sz val="9"/>
            <rFont val="Tahoma"/>
            <family val="2"/>
          </rPr>
          <t xml:space="preserve">Results
</t>
        </r>
      </text>
    </comment>
    <comment ref="A29" authorId="0">
      <text>
        <r>
          <rPr>
            <sz val="8"/>
            <rFont val="Tahoma"/>
            <family val="2"/>
          </rPr>
          <t>Determine the temperature of the regenerator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Tahoma"/>
            <family val="2"/>
          </rPr>
          <t>Values of the Schmidt-analysis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sz val="8"/>
            <rFont val="Tahoma"/>
            <family val="2"/>
          </rPr>
          <t>Work about one turn of the shaft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sz val="8"/>
            <rFont val="Tahoma"/>
            <family val="2"/>
          </rPr>
          <t>……1  for the logarithmic mean value
……0 for the arithmetic  mean  value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Tahoma"/>
            <family val="2"/>
          </rPr>
          <t>Mean value of the  power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sz val="8"/>
            <rFont val="Tahoma"/>
            <family val="2"/>
          </rPr>
          <t>Maximum pressure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sz val="8"/>
            <rFont val="Tahoma"/>
            <family val="2"/>
          </rPr>
          <t>Mean pressure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sz val="8"/>
            <rFont val="Tahoma"/>
            <family val="2"/>
          </rPr>
          <t>Minimum pressure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sz val="8"/>
            <rFont val="Tahoma"/>
            <family val="2"/>
          </rPr>
          <t>Maximum volume of the system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sz val="9"/>
            <rFont val="Tahoma"/>
            <family val="2"/>
          </rPr>
          <t xml:space="preserve">Values of the basic of the real piston motion
</t>
        </r>
      </text>
    </comment>
    <comment ref="A39" authorId="0">
      <text>
        <r>
          <rPr>
            <sz val="8"/>
            <rFont val="Tahoma"/>
            <family val="2"/>
          </rPr>
          <t>Work about one turn of crank shaft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>mean power</t>
        </r>
        <r>
          <rPr>
            <sz val="9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Maximum pressure</t>
        </r>
      </text>
    </comment>
    <comment ref="A42" authorId="0">
      <text>
        <r>
          <rPr>
            <sz val="8"/>
            <rFont val="Tahoma"/>
            <family val="2"/>
          </rPr>
          <t>mean pressure</t>
        </r>
        <r>
          <rPr>
            <sz val="9"/>
            <rFont val="Tahoma"/>
            <family val="2"/>
          </rPr>
          <t xml:space="preserve">
</t>
        </r>
      </text>
    </comment>
    <comment ref="A43" authorId="0">
      <text>
        <r>
          <rPr>
            <sz val="8"/>
            <rFont val="Tahoma"/>
            <family val="2"/>
          </rPr>
          <t>minimum pressure</t>
        </r>
        <r>
          <rPr>
            <sz val="9"/>
            <rFont val="Tahoma"/>
            <family val="2"/>
          </rPr>
          <t xml:space="preserve">
</t>
        </r>
      </text>
    </comment>
    <comment ref="A44" authorId="0">
      <text>
        <r>
          <rPr>
            <sz val="9"/>
            <rFont val="Tahoma"/>
            <family val="2"/>
          </rPr>
          <t xml:space="preserve">maximal volume of system
</t>
        </r>
      </text>
    </comment>
    <comment ref="A28" authorId="0">
      <text>
        <r>
          <rPr>
            <sz val="8"/>
            <rFont val="Tahoma"/>
            <family val="2"/>
          </rPr>
          <t>Determine the temperature of the regenerator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sz val="9"/>
            <rFont val="Tahoma"/>
            <family val="2"/>
          </rPr>
          <t xml:space="preserve">Increment:  5°
</t>
        </r>
      </text>
    </comment>
    <comment ref="A30" authorId="0">
      <text>
        <r>
          <rPr>
            <sz val="8"/>
            <rFont val="Tahoma"/>
            <family val="2"/>
          </rPr>
          <t>Carnot-efficienty</t>
        </r>
      </text>
    </comment>
  </commentList>
</comments>
</file>

<file path=xl/sharedStrings.xml><?xml version="1.0" encoding="utf-8"?>
<sst xmlns="http://schemas.openxmlformats.org/spreadsheetml/2006/main" count="540" uniqueCount="354">
  <si>
    <t>.-.</t>
  </si>
  <si>
    <r>
      <t>d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[mm]</t>
    </r>
  </si>
  <si>
    <t xml:space="preserve"> </t>
  </si>
  <si>
    <r>
      <t>r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[mm]</t>
    </r>
  </si>
  <si>
    <r>
      <t>l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[mm]</t>
    </r>
  </si>
  <si>
    <r>
      <t>j</t>
    </r>
    <r>
      <rPr>
        <sz val="9"/>
        <rFont val="Arial Narrow"/>
        <family val="2"/>
      </rPr>
      <t xml:space="preserve"> [rad]</t>
    </r>
  </si>
  <si>
    <t>®</t>
  </si>
  <si>
    <t>Angaben zur Geometrie und Kinematik</t>
  </si>
  <si>
    <r>
      <t>V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 xml:space="preserve"> [mm³]</t>
    </r>
  </si>
  <si>
    <r>
      <t>n [min</t>
    </r>
    <r>
      <rPr>
        <vertAlign val="superscript"/>
        <sz val="9"/>
        <rFont val="Arial Narrow"/>
        <family val="2"/>
      </rPr>
      <t>-1</t>
    </r>
    <r>
      <rPr>
        <sz val="9"/>
        <rFont val="Arial Narrow"/>
        <family val="2"/>
      </rPr>
      <t>]</t>
    </r>
  </si>
  <si>
    <t>Kalorische und thermodynamische Größen</t>
  </si>
  <si>
    <t>Spezielle Gaskonstante für Luft</t>
  </si>
  <si>
    <r>
      <t>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[°C] </t>
    </r>
  </si>
  <si>
    <t xml:space="preserve">atmosphärischer Druck                                       </t>
  </si>
  <si>
    <r>
      <t>j</t>
    </r>
    <r>
      <rPr>
        <sz val="9"/>
        <rFont val="Arial Narrow"/>
        <family val="2"/>
      </rPr>
      <t xml:space="preserve"> [-°]</t>
    </r>
  </si>
  <si>
    <r>
      <t>R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 xml:space="preserve">  [m²/(s²</t>
    </r>
    <r>
      <rPr>
        <sz val="9"/>
        <rFont val="Arial"/>
        <family val="2"/>
      </rPr>
      <t>۬ °</t>
    </r>
    <r>
      <rPr>
        <sz val="9"/>
        <rFont val="Arial Narrow"/>
        <family val="2"/>
      </rPr>
      <t>K]</t>
    </r>
  </si>
  <si>
    <r>
      <t>d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[m]</t>
    </r>
  </si>
  <si>
    <r>
      <t>a</t>
    </r>
    <r>
      <rPr>
        <sz val="9"/>
        <rFont val="Arial Narrow"/>
        <family val="2"/>
      </rPr>
      <t xml:space="preserve"> [-°]</t>
    </r>
  </si>
  <si>
    <r>
      <t>r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[m]</t>
    </r>
  </si>
  <si>
    <r>
      <t>l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[m]</t>
    </r>
  </si>
  <si>
    <r>
      <t>V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 xml:space="preserve"> [m³]</t>
    </r>
  </si>
  <si>
    <t>Volumina und abgeleitete Größen</t>
  </si>
  <si>
    <r>
      <t>a</t>
    </r>
    <r>
      <rPr>
        <sz val="9"/>
        <rFont val="Arial Narrow"/>
        <family val="2"/>
      </rPr>
      <t xml:space="preserve"> [rad]</t>
    </r>
  </si>
  <si>
    <t xml:space="preserve">Angaben zur Geometrie </t>
  </si>
  <si>
    <r>
      <t>w</t>
    </r>
    <r>
      <rPr>
        <sz val="9"/>
        <rFont val="Arial Narrow"/>
        <family val="2"/>
      </rPr>
      <t xml:space="preserve"> [rad/s]</t>
    </r>
  </si>
  <si>
    <t>Anfangstemperatur</t>
  </si>
  <si>
    <r>
      <t>j</t>
    </r>
    <r>
      <rPr>
        <sz val="9"/>
        <rFont val="Arial Narrow"/>
        <family val="2"/>
      </rPr>
      <t xml:space="preserve"> </t>
    </r>
    <r>
      <rPr>
        <vertAlign val="subscript"/>
        <sz val="9"/>
        <rFont val="Arial Narrow"/>
        <family val="2"/>
      </rPr>
      <t>0</t>
    </r>
    <r>
      <rPr>
        <sz val="9"/>
        <rFont val="Arial Narrow"/>
        <family val="2"/>
      </rPr>
      <t xml:space="preserve"> [rad]</t>
    </r>
  </si>
  <si>
    <r>
      <t>T</t>
    </r>
    <r>
      <rPr>
        <vertAlign val="subscript"/>
        <sz val="9"/>
        <rFont val="Arial Narrow"/>
        <family val="2"/>
      </rPr>
      <t>0</t>
    </r>
    <r>
      <rPr>
        <sz val="9"/>
        <rFont val="Arial Narrow"/>
        <family val="2"/>
      </rPr>
      <t xml:space="preserve"> [°K]</t>
    </r>
  </si>
  <si>
    <t>Anfangsdruck</t>
  </si>
  <si>
    <r>
      <t>p</t>
    </r>
    <r>
      <rPr>
        <vertAlign val="subscript"/>
        <sz val="9"/>
        <rFont val="Arial Narrow"/>
        <family val="2"/>
      </rPr>
      <t>0</t>
    </r>
    <r>
      <rPr>
        <sz val="9"/>
        <rFont val="Arial Narrow"/>
        <family val="2"/>
      </rPr>
      <t xml:space="preserve"> [kg/(ms²]</t>
    </r>
  </si>
  <si>
    <r>
      <t>T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 xml:space="preserve"> [°C] </t>
    </r>
  </si>
  <si>
    <t>a [m³/°K]</t>
  </si>
  <si>
    <t>c [m³/°K]</t>
  </si>
  <si>
    <r>
      <t>b</t>
    </r>
    <r>
      <rPr>
        <sz val="9"/>
        <rFont val="Arial Narrow"/>
        <family val="2"/>
      </rPr>
      <t xml:space="preserve"> [rad]</t>
    </r>
  </si>
  <si>
    <t>b [ - ]</t>
  </si>
  <si>
    <r>
      <t>l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 - ]</t>
    </r>
  </si>
  <si>
    <t>c/a</t>
  </si>
  <si>
    <r>
      <t xml:space="preserve">p </t>
    </r>
    <r>
      <rPr>
        <sz val="9"/>
        <rFont val="Arial Narrow"/>
        <family val="2"/>
      </rPr>
      <t>/ 360</t>
    </r>
  </si>
  <si>
    <r>
      <t>p</t>
    </r>
    <r>
      <rPr>
        <sz val="9"/>
        <rFont val="Arial Narrow"/>
        <family val="2"/>
      </rPr>
      <t xml:space="preserve"> n /30 </t>
    </r>
  </si>
  <si>
    <r>
      <t>r</t>
    </r>
    <r>
      <rPr>
        <vertAlign val="subscript"/>
        <sz val="9"/>
        <rFont val="Arial Narrow"/>
        <family val="2"/>
      </rPr>
      <t xml:space="preserve">H </t>
    </r>
    <r>
      <rPr>
        <sz val="9"/>
        <rFont val="Arial Narrow"/>
        <family val="2"/>
      </rPr>
      <t>/ l</t>
    </r>
    <r>
      <rPr>
        <vertAlign val="subscript"/>
        <sz val="9"/>
        <rFont val="Arial Narrow"/>
        <family val="2"/>
      </rPr>
      <t>H</t>
    </r>
  </si>
  <si>
    <t>mittlerer Systemdruck</t>
  </si>
  <si>
    <r>
      <t>p</t>
    </r>
    <r>
      <rPr>
        <vertAlign val="subscript"/>
        <sz val="9"/>
        <rFont val="Arial Narrow"/>
        <family val="2"/>
      </rPr>
      <t>atm</t>
    </r>
  </si>
  <si>
    <t>Rechengrößen für Schmidt-Theorie</t>
  </si>
  <si>
    <t>Substitutionswert</t>
  </si>
  <si>
    <t>Substitutionswinkel</t>
  </si>
  <si>
    <t>Kurbelwinkel</t>
  </si>
  <si>
    <t>heiss</t>
  </si>
  <si>
    <t>kalt</t>
  </si>
  <si>
    <r>
      <t>j</t>
    </r>
    <r>
      <rPr>
        <sz val="9"/>
        <rFont val="Arial Narrow"/>
        <family val="2"/>
      </rPr>
      <t xml:space="preserve">  [-°]</t>
    </r>
  </si>
  <si>
    <t xml:space="preserve">Druck </t>
  </si>
  <si>
    <t>Schmidt</t>
  </si>
  <si>
    <r>
      <t>p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 xml:space="preserve"> [kg/(ms²]</t>
    </r>
  </si>
  <si>
    <r>
      <t>V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 xml:space="preserve"> [m³]</t>
    </r>
  </si>
  <si>
    <r>
      <t xml:space="preserve">j+a </t>
    </r>
    <r>
      <rPr>
        <sz val="9"/>
        <rFont val="Arial Narrow"/>
        <family val="2"/>
      </rPr>
      <t xml:space="preserve"> [rad]</t>
    </r>
  </si>
  <si>
    <r>
      <t xml:space="preserve">j </t>
    </r>
    <r>
      <rPr>
        <vertAlign val="subscript"/>
        <sz val="9"/>
        <rFont val="Arial Narrow"/>
        <family val="2"/>
      </rPr>
      <t>Vmax</t>
    </r>
    <r>
      <rPr>
        <sz val="9"/>
        <rFont val="Arial Narrow"/>
        <family val="2"/>
      </rPr>
      <t xml:space="preserve"> [rad]</t>
    </r>
  </si>
  <si>
    <r>
      <t xml:space="preserve">j </t>
    </r>
    <r>
      <rPr>
        <vertAlign val="subscript"/>
        <sz val="9"/>
        <rFont val="Arial Narrow"/>
        <family val="2"/>
      </rPr>
      <t>Vmin</t>
    </r>
    <r>
      <rPr>
        <sz val="9"/>
        <rFont val="Arial Narrow"/>
        <family val="2"/>
      </rPr>
      <t xml:space="preserve"> [rad]</t>
    </r>
  </si>
  <si>
    <t>Winkel für maximales Volumen</t>
  </si>
  <si>
    <t>Winkel für minimales Volumen</t>
  </si>
  <si>
    <r>
      <t>V</t>
    </r>
    <r>
      <rPr>
        <vertAlign val="subscript"/>
        <sz val="9"/>
        <rFont val="Arial Narrow"/>
        <family val="2"/>
      </rPr>
      <t>var/max</t>
    </r>
    <r>
      <rPr>
        <sz val="9"/>
        <rFont val="Arial Narrow"/>
        <family val="2"/>
      </rPr>
      <t xml:space="preserve"> [m³] </t>
    </r>
  </si>
  <si>
    <t xml:space="preserve">Gesamtvolumen </t>
  </si>
  <si>
    <t>Variables Volumen</t>
  </si>
  <si>
    <r>
      <t>V</t>
    </r>
    <r>
      <rPr>
        <vertAlign val="subscript"/>
        <sz val="9"/>
        <rFont val="Arial Narrow"/>
        <family val="2"/>
      </rPr>
      <t>Svar</t>
    </r>
    <r>
      <rPr>
        <sz val="9"/>
        <rFont val="Arial Narrow"/>
        <family val="2"/>
      </rPr>
      <t xml:space="preserve"> [m³]</t>
    </r>
  </si>
  <si>
    <t>maximales veränderliches Volumen</t>
  </si>
  <si>
    <t>minimales veränderliches Volumen</t>
  </si>
  <si>
    <r>
      <t>V</t>
    </r>
    <r>
      <rPr>
        <vertAlign val="subscript"/>
        <sz val="9"/>
        <rFont val="Arial Narrow"/>
        <family val="2"/>
      </rPr>
      <t>max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</si>
  <si>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min</t>
    </r>
    <r>
      <rPr>
        <sz val="9"/>
        <rFont val="Arial Narrow"/>
        <family val="2"/>
      </rPr>
      <t xml:space="preserve"> [m³]</t>
    </r>
  </si>
  <si>
    <t>Abw.</t>
  </si>
  <si>
    <t>m [kg]</t>
  </si>
  <si>
    <t>Gesamtmasse im System</t>
  </si>
  <si>
    <t>maximaler Druck</t>
  </si>
  <si>
    <t>minimaler Druck</t>
  </si>
  <si>
    <r>
      <t>p</t>
    </r>
    <r>
      <rPr>
        <vertAlign val="subscript"/>
        <sz val="9"/>
        <rFont val="Arial Narrow"/>
        <family val="2"/>
      </rPr>
      <t>mean</t>
    </r>
    <r>
      <rPr>
        <sz val="9"/>
        <rFont val="Arial Narrow"/>
        <family val="2"/>
      </rPr>
      <t xml:space="preserve"> [kg/(m s²)]</t>
    </r>
  </si>
  <si>
    <r>
      <t>p</t>
    </r>
    <r>
      <rPr>
        <vertAlign val="subscript"/>
        <sz val="9"/>
        <rFont val="Arial Narrow"/>
        <family val="2"/>
      </rPr>
      <t>atm</t>
    </r>
    <r>
      <rPr>
        <sz val="9"/>
        <rFont val="Arial Narrow"/>
        <family val="2"/>
      </rPr>
      <t xml:space="preserve"> [kg/(m s²)]</t>
    </r>
  </si>
  <si>
    <r>
      <t>p</t>
    </r>
    <r>
      <rPr>
        <vertAlign val="subscript"/>
        <sz val="9"/>
        <rFont val="Arial Narrow"/>
        <family val="2"/>
      </rPr>
      <t>max</t>
    </r>
    <r>
      <rPr>
        <sz val="9"/>
        <rFont val="Arial Narrow"/>
        <family val="2"/>
      </rPr>
      <t xml:space="preserve"> [kg/(m s²)]</t>
    </r>
  </si>
  <si>
    <r>
      <t>p</t>
    </r>
    <r>
      <rPr>
        <vertAlign val="subscript"/>
        <sz val="9"/>
        <rFont val="Arial Narrow"/>
        <family val="2"/>
      </rPr>
      <t>min</t>
    </r>
    <r>
      <rPr>
        <sz val="9"/>
        <rFont val="Arial Narrow"/>
        <family val="2"/>
      </rPr>
      <t xml:space="preserve"> [kg/(m s²)]</t>
    </r>
  </si>
  <si>
    <r>
      <t>mR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>/[a(1-b)]</t>
    </r>
  </si>
  <si>
    <r>
      <t>mR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>/[a(1+b)]</t>
    </r>
  </si>
  <si>
    <r>
      <t>mR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>/[a(1-b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  <r>
      <rPr>
        <vertAlign val="superscript"/>
        <sz val="9"/>
        <rFont val="Arial Narrow"/>
        <family val="2"/>
      </rPr>
      <t>1/2</t>
    </r>
    <r>
      <rPr>
        <sz val="9"/>
        <rFont val="Arial Narrow"/>
        <family val="2"/>
      </rPr>
      <t>]</t>
    </r>
  </si>
  <si>
    <r>
      <t>p</t>
    </r>
    <r>
      <rPr>
        <vertAlign val="subscript"/>
        <sz val="9"/>
        <rFont val="Arial Narrow"/>
        <family val="2"/>
      </rPr>
      <t>mean</t>
    </r>
    <r>
      <rPr>
        <sz val="9"/>
        <rFont val="Arial Narrow"/>
        <family val="2"/>
      </rPr>
      <t xml:space="preserve"> [kg/(m s²]</t>
    </r>
  </si>
  <si>
    <t>mittlere Druck</t>
  </si>
  <si>
    <t>exakter Weg</t>
  </si>
  <si>
    <t>Maximum</t>
  </si>
  <si>
    <t>Minimum</t>
  </si>
  <si>
    <t>Mean</t>
  </si>
  <si>
    <t>Anfangswinkel</t>
  </si>
  <si>
    <t>Anfangsmasse</t>
  </si>
  <si>
    <t>???</t>
  </si>
  <si>
    <t>Anfangsbedingungen (Problem) ?</t>
  </si>
  <si>
    <r>
      <t>p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>R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>/[V(</t>
    </r>
    <r>
      <rPr>
        <sz val="10"/>
        <rFont val="Symbol"/>
        <family val="1"/>
      </rPr>
      <t>j</t>
    </r>
    <r>
      <rPr>
        <sz val="10"/>
        <rFont val="Arial Narrow"/>
        <family val="2"/>
      </rPr>
      <t xml:space="preserve"> 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>) T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>]</t>
    </r>
  </si>
  <si>
    <t>Leistung</t>
  </si>
  <si>
    <t>Check</t>
  </si>
  <si>
    <r>
      <t>p</t>
    </r>
    <r>
      <rPr>
        <vertAlign val="subscript"/>
        <sz val="9"/>
        <rFont val="Arial Narrow"/>
        <family val="2"/>
      </rPr>
      <t>mean</t>
    </r>
    <r>
      <rPr>
        <sz val="9"/>
        <rFont val="Arial Narrow"/>
        <family val="2"/>
      </rPr>
      <t>a(1-b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  <r>
      <rPr>
        <vertAlign val="superscript"/>
        <sz val="9"/>
        <rFont val="Arial Narrow"/>
        <family val="2"/>
      </rPr>
      <t>1/2</t>
    </r>
    <r>
      <rPr>
        <sz val="9"/>
        <rFont val="Arial Narrow"/>
        <family val="2"/>
      </rPr>
      <t>/R</t>
    </r>
    <r>
      <rPr>
        <vertAlign val="subscript"/>
        <sz val="9"/>
        <rFont val="Arial Narrow"/>
        <family val="2"/>
      </rPr>
      <t>S</t>
    </r>
  </si>
  <si>
    <t>Arbeit</t>
  </si>
  <si>
    <t>Abweichung</t>
  </si>
  <si>
    <t>i [-]</t>
  </si>
  <si>
    <r>
      <t xml:space="preserve">j-a </t>
    </r>
    <r>
      <rPr>
        <sz val="9"/>
        <rFont val="Arial Narrow"/>
        <family val="2"/>
      </rPr>
      <t xml:space="preserve"> [-°]</t>
    </r>
  </si>
  <si>
    <r>
      <t>j</t>
    </r>
    <r>
      <rPr>
        <sz val="9"/>
        <rFont val="Arial Narrow"/>
        <family val="2"/>
      </rPr>
      <t>=</t>
    </r>
    <r>
      <rPr>
        <sz val="9"/>
        <rFont val="Symbol"/>
        <family val="1"/>
      </rPr>
      <t>j</t>
    </r>
    <r>
      <rPr>
        <sz val="9"/>
        <rFont val="Arial Narrow"/>
        <family val="2"/>
      </rPr>
      <t>(</t>
    </r>
    <r>
      <rPr>
        <sz val="9"/>
        <rFont val="Symbol"/>
        <family val="1"/>
      </rPr>
      <t>w</t>
    </r>
    <r>
      <rPr>
        <sz val="9"/>
        <rFont val="Arial Narrow"/>
        <family val="2"/>
      </rPr>
      <t xml:space="preserve">t) </t>
    </r>
  </si>
  <si>
    <t>Exakter Weg</t>
  </si>
  <si>
    <t>mom.Leistung</t>
  </si>
  <si>
    <r>
      <t>j</t>
    </r>
    <r>
      <rPr>
        <sz val="9"/>
        <rFont val="Arial Narrow"/>
        <family val="2"/>
      </rPr>
      <t>(</t>
    </r>
    <r>
      <rPr>
        <sz val="9"/>
        <rFont val="Symbol"/>
        <family val="1"/>
      </rPr>
      <t>w</t>
    </r>
    <r>
      <rPr>
        <sz val="9"/>
        <rFont val="Arial Narrow"/>
        <family val="2"/>
      </rPr>
      <t>t) [-]</t>
    </r>
  </si>
  <si>
    <r>
      <t xml:space="preserve">Umlauf im Diagramm                                                          </t>
    </r>
    <r>
      <rPr>
        <sz val="14"/>
        <rFont val="Arial Narrow"/>
        <family val="2"/>
      </rPr>
      <t xml:space="preserve">  </t>
    </r>
  </si>
  <si>
    <r>
      <t xml:space="preserve"> p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 xml:space="preserve"> </t>
    </r>
    <r>
      <rPr>
        <sz val="9"/>
        <rFont val="Symbol"/>
        <family val="1"/>
      </rPr>
      <t>D</t>
    </r>
    <r>
      <rPr>
        <sz val="9"/>
        <rFont val="Arial Narrow"/>
        <family val="2"/>
      </rPr>
      <t>V</t>
    </r>
    <r>
      <rPr>
        <vertAlign val="subscript"/>
        <sz val="9"/>
        <rFont val="Arial Narrow"/>
        <family val="2"/>
      </rPr>
      <t>S</t>
    </r>
  </si>
  <si>
    <t>Volumendifferenz</t>
  </si>
  <si>
    <r>
      <t>D</t>
    </r>
    <r>
      <rPr>
        <sz val="9"/>
        <rFont val="Arial Narrow"/>
        <family val="2"/>
      </rPr>
      <t>V</t>
    </r>
    <r>
      <rPr>
        <vertAlign val="subscript"/>
        <sz val="9"/>
        <rFont val="Arial Narrow"/>
        <family val="2"/>
      </rPr>
      <t>Svar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</si>
  <si>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var/min</t>
    </r>
    <r>
      <rPr>
        <sz val="9"/>
        <rFont val="Arial Narrow"/>
        <family val="2"/>
      </rPr>
      <t xml:space="preserve"> [m³] </t>
    </r>
  </si>
  <si>
    <t>normiertes p-V-Diagramm</t>
  </si>
  <si>
    <t>Realer Weg</t>
  </si>
  <si>
    <r>
      <t>p</t>
    </r>
    <r>
      <rPr>
        <vertAlign val="subscript"/>
        <sz val="9"/>
        <rFont val="Arial Narrow"/>
        <family val="2"/>
      </rPr>
      <t>Re</t>
    </r>
    <r>
      <rPr>
        <sz val="9"/>
        <rFont val="Arial Narrow"/>
        <family val="2"/>
      </rPr>
      <t xml:space="preserve"> [kg/(ms²]</t>
    </r>
  </si>
  <si>
    <r>
      <t>V</t>
    </r>
    <r>
      <rPr>
        <vertAlign val="subscript"/>
        <sz val="9"/>
        <rFont val="Arial Narrow"/>
        <family val="2"/>
      </rPr>
      <t>Re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</si>
  <si>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Re/var</t>
    </r>
    <r>
      <rPr>
        <sz val="9"/>
        <rFont val="Arial Narrow"/>
        <family val="2"/>
      </rPr>
      <t xml:space="preserve"> [m³]</t>
    </r>
  </si>
  <si>
    <r>
      <t xml:space="preserve"> p</t>
    </r>
    <r>
      <rPr>
        <vertAlign val="subscript"/>
        <sz val="9"/>
        <rFont val="Arial Narrow"/>
        <family val="2"/>
      </rPr>
      <t>Re</t>
    </r>
    <r>
      <rPr>
        <sz val="9"/>
        <rFont val="Arial Narrow"/>
        <family val="2"/>
      </rPr>
      <t xml:space="preserve"> </t>
    </r>
    <r>
      <rPr>
        <sz val="9"/>
        <rFont val="Symbol"/>
        <family val="1"/>
      </rPr>
      <t>D</t>
    </r>
    <r>
      <rPr>
        <sz val="9"/>
        <rFont val="Arial Narrow"/>
        <family val="2"/>
      </rPr>
      <t>V</t>
    </r>
    <r>
      <rPr>
        <vertAlign val="subscript"/>
        <sz val="9"/>
        <rFont val="Arial Narrow"/>
        <family val="2"/>
      </rPr>
      <t>Re</t>
    </r>
  </si>
  <si>
    <r>
      <t>D</t>
    </r>
    <r>
      <rPr>
        <sz val="9"/>
        <rFont val="Arial Narrow"/>
        <family val="2"/>
      </rPr>
      <t>V</t>
    </r>
    <r>
      <rPr>
        <vertAlign val="subscript"/>
        <sz val="9"/>
        <rFont val="Arial Narrow"/>
        <family val="2"/>
      </rPr>
      <t>Re/var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</si>
  <si>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Svar</t>
    </r>
    <r>
      <rPr>
        <sz val="9"/>
        <rFont val="Arial Narrow"/>
        <family val="2"/>
      </rPr>
      <t>-V</t>
    </r>
    <r>
      <rPr>
        <vertAlign val="subscript"/>
        <sz val="9"/>
        <rFont val="Arial Narrow"/>
        <family val="2"/>
      </rPr>
      <t>re/var</t>
    </r>
  </si>
  <si>
    <r>
      <t>p</t>
    </r>
    <r>
      <rPr>
        <vertAlign val="subscript"/>
        <sz val="8"/>
        <rFont val="Arial Narrow"/>
        <family val="2"/>
      </rPr>
      <t>S</t>
    </r>
    <r>
      <rPr>
        <sz val="8"/>
        <rFont val="Arial Narrow"/>
        <family val="2"/>
      </rPr>
      <t>/p</t>
    </r>
    <r>
      <rPr>
        <vertAlign val="subscript"/>
        <sz val="8"/>
        <rFont val="Arial Narrow"/>
        <family val="2"/>
      </rPr>
      <t>ReMax</t>
    </r>
    <r>
      <rPr>
        <sz val="8"/>
        <rFont val="Arial Narrow"/>
        <family val="2"/>
      </rPr>
      <t xml:space="preserve"> [kg/(ms²]</t>
    </r>
  </si>
  <si>
    <r>
      <t>p</t>
    </r>
    <r>
      <rPr>
        <vertAlign val="subscript"/>
        <sz val="8"/>
        <rFont val="Arial Narrow"/>
        <family val="2"/>
      </rPr>
      <t>Re</t>
    </r>
    <r>
      <rPr>
        <sz val="8"/>
        <rFont val="Arial Narrow"/>
        <family val="2"/>
      </rPr>
      <t>V</t>
    </r>
    <r>
      <rPr>
        <vertAlign val="subscript"/>
        <sz val="8"/>
        <rFont val="Arial Narrow"/>
        <family val="2"/>
      </rPr>
      <t>Re</t>
    </r>
    <r>
      <rPr>
        <sz val="8"/>
        <rFont val="Arial Narrow"/>
        <family val="2"/>
      </rPr>
      <t xml:space="preserve"> [W]</t>
    </r>
  </si>
  <si>
    <t>Max. reales Volumen</t>
  </si>
  <si>
    <t>Max. realer Druck</t>
  </si>
  <si>
    <r>
      <t>p</t>
    </r>
    <r>
      <rPr>
        <vertAlign val="subscript"/>
        <sz val="9"/>
        <rFont val="Arial Narrow"/>
        <family val="2"/>
      </rPr>
      <t>atm</t>
    </r>
    <r>
      <rPr>
        <sz val="9"/>
        <rFont val="Arial Narrow"/>
        <family val="2"/>
      </rPr>
      <t xml:space="preserve"> [kPa]</t>
    </r>
  </si>
  <si>
    <t>Wärmekapazität der Luft</t>
  </si>
  <si>
    <t>Umgebungstemperatur</t>
  </si>
  <si>
    <r>
      <t>T</t>
    </r>
    <r>
      <rPr>
        <vertAlign val="subscript"/>
        <sz val="9"/>
        <rFont val="Arial Narrow"/>
        <family val="2"/>
      </rPr>
      <t>U</t>
    </r>
    <r>
      <rPr>
        <sz val="9"/>
        <rFont val="Arial Narrow"/>
        <family val="2"/>
      </rPr>
      <t xml:space="preserve"> [°C] </t>
    </r>
  </si>
  <si>
    <r>
      <t>C</t>
    </r>
    <r>
      <rPr>
        <vertAlign val="subscript"/>
        <sz val="9"/>
        <rFont val="Arial Narrow"/>
        <family val="2"/>
      </rPr>
      <t>p</t>
    </r>
    <r>
      <rPr>
        <sz val="9"/>
        <rFont val="Arial Narrow"/>
        <family val="2"/>
      </rPr>
      <t xml:space="preserve"> [s²/(m²°K]</t>
    </r>
  </si>
  <si>
    <r>
      <t>R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 xml:space="preserve">  [m²/(s²</t>
    </r>
    <r>
      <rPr>
        <sz val="9"/>
        <rFont val="Arial"/>
        <family val="2"/>
      </rPr>
      <t>۬ °</t>
    </r>
    <r>
      <rPr>
        <sz val="9"/>
        <rFont val="Arial Narrow"/>
        <family val="2"/>
      </rPr>
      <t>K)]</t>
    </r>
  </si>
  <si>
    <r>
      <t>C</t>
    </r>
    <r>
      <rPr>
        <vertAlign val="subscript"/>
        <sz val="9"/>
        <rFont val="Arial Narrow"/>
        <family val="2"/>
      </rPr>
      <t>p</t>
    </r>
    <r>
      <rPr>
        <sz val="9"/>
        <rFont val="Arial Narrow"/>
        <family val="2"/>
      </rPr>
      <t xml:space="preserve">  [m²/(s²</t>
    </r>
    <r>
      <rPr>
        <sz val="9"/>
        <rFont val="Arial"/>
        <family val="2"/>
      </rPr>
      <t>۬ °</t>
    </r>
    <r>
      <rPr>
        <sz val="9"/>
        <rFont val="Arial Narrow"/>
        <family val="2"/>
      </rPr>
      <t>K)]</t>
    </r>
  </si>
  <si>
    <t xml:space="preserve"> mitlereDichte der Luft</t>
  </si>
  <si>
    <r>
      <t>r</t>
    </r>
    <r>
      <rPr>
        <sz val="9"/>
        <rFont val="Arial Narrow"/>
        <family val="2"/>
      </rPr>
      <t xml:space="preserve"> [kg/m³]</t>
    </r>
  </si>
  <si>
    <t>Wirkungsgrad</t>
  </si>
  <si>
    <t>Ergebnisse</t>
  </si>
  <si>
    <r>
      <t>t</t>
    </r>
    <r>
      <rPr>
        <vertAlign val="subscript"/>
        <sz val="9"/>
        <rFont val="Arial Narrow"/>
        <family val="2"/>
      </rPr>
      <t>U</t>
    </r>
    <r>
      <rPr>
        <sz val="9"/>
        <rFont val="Arial Narrow"/>
        <family val="2"/>
      </rPr>
      <t xml:space="preserve"> [°C]</t>
    </r>
  </si>
  <si>
    <r>
      <t>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[°C] </t>
    </r>
  </si>
  <si>
    <r>
      <t>t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 xml:space="preserve"> [°C] </t>
    </r>
  </si>
  <si>
    <r>
      <t>t</t>
    </r>
    <r>
      <rPr>
        <vertAlign val="subscript"/>
        <sz val="9"/>
        <rFont val="Arial Narrow"/>
        <family val="2"/>
      </rPr>
      <t>U</t>
    </r>
    <r>
      <rPr>
        <sz val="9"/>
        <rFont val="Arial Narrow"/>
        <family val="2"/>
      </rPr>
      <t xml:space="preserve"> +273</t>
    </r>
  </si>
  <si>
    <r>
      <t>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 xml:space="preserve"> +273</t>
    </r>
  </si>
  <si>
    <t xml:space="preserve">normierter Druck </t>
  </si>
  <si>
    <t xml:space="preserve">norm. Gesamtvolumen </t>
  </si>
  <si>
    <r>
      <t>V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>/V</t>
    </r>
    <r>
      <rPr>
        <vertAlign val="subscript"/>
        <sz val="9"/>
        <rFont val="Arial Narrow"/>
        <family val="2"/>
      </rPr>
      <t>ReMax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</si>
  <si>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Re</t>
    </r>
    <r>
      <rPr>
        <sz val="9"/>
        <rFont val="Arial Narrow"/>
        <family val="2"/>
      </rPr>
      <t>/V</t>
    </r>
    <r>
      <rPr>
        <vertAlign val="subscript"/>
        <sz val="9"/>
        <rFont val="Arial Narrow"/>
        <family val="2"/>
      </rPr>
      <t>ReMax</t>
    </r>
    <r>
      <rPr>
        <sz val="9"/>
        <rFont val="Arial Narrow"/>
        <family val="2"/>
      </rPr>
      <t xml:space="preserve"> [m³]</t>
    </r>
  </si>
  <si>
    <t xml:space="preserve">Carnot-Wirkungsgrad des Systems </t>
  </si>
  <si>
    <t xml:space="preserve">Bsp./HIRATA </t>
  </si>
  <si>
    <t>Mechanische Arbeit in den Zylindern</t>
  </si>
  <si>
    <t>Mittelwert des variablen Volumens der heißen Seite</t>
  </si>
  <si>
    <t>Mittelwert des variablen Volumens der kalten Seite</t>
  </si>
  <si>
    <r>
      <t>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 xml:space="preserve"> [m³]</t>
    </r>
  </si>
  <si>
    <r>
      <t xml:space="preserve"> r</t>
    </r>
    <r>
      <rPr>
        <vertAlign val="subscript"/>
        <sz val="9"/>
        <rFont val="Arial Narrow"/>
        <family val="2"/>
      </rPr>
      <t xml:space="preserve">H </t>
    </r>
    <r>
      <rPr>
        <sz val="9"/>
        <rFont val="Symbol"/>
        <family val="1"/>
      </rPr>
      <t xml:space="preserve">p </t>
    </r>
    <r>
      <rPr>
        <sz val="9"/>
        <rFont val="Arial Narrow"/>
        <family val="2"/>
      </rPr>
      <t>d</t>
    </r>
    <r>
      <rPr>
        <vertAlign val="subscript"/>
        <sz val="9"/>
        <rFont val="Arial Narrow"/>
        <family val="2"/>
      </rPr>
      <t>H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/ 4</t>
    </r>
  </si>
  <si>
    <r>
      <t xml:space="preserve"> r</t>
    </r>
    <r>
      <rPr>
        <vertAlign val="subscript"/>
        <sz val="9"/>
        <rFont val="Arial Narrow"/>
        <family val="2"/>
      </rPr>
      <t xml:space="preserve">K </t>
    </r>
    <r>
      <rPr>
        <sz val="9"/>
        <rFont val="Symbol"/>
        <family val="1"/>
      </rPr>
      <t xml:space="preserve">p </t>
    </r>
    <r>
      <rPr>
        <sz val="9"/>
        <rFont val="Arial Narrow"/>
        <family val="2"/>
      </rPr>
      <t>d</t>
    </r>
    <r>
      <rPr>
        <vertAlign val="subscript"/>
        <sz val="9"/>
        <rFont val="Arial Narrow"/>
        <family val="2"/>
      </rPr>
      <t xml:space="preserve">K 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 xml:space="preserve">/4 </t>
    </r>
  </si>
  <si>
    <r>
      <t>V</t>
    </r>
    <r>
      <rPr>
        <vertAlign val="subscript"/>
        <sz val="9"/>
        <rFont val="Arial Narrow"/>
        <family val="2"/>
      </rPr>
      <t>HD</t>
    </r>
    <r>
      <rPr>
        <sz val="9"/>
        <rFont val="Arial Narrow"/>
        <family val="2"/>
      </rPr>
      <t xml:space="preserve"> [mm³]</t>
    </r>
  </si>
  <si>
    <r>
      <t>d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[mm]</t>
    </r>
  </si>
  <si>
    <t xml:space="preserve">Durchmesser des Kolbens der heißen Seite                  </t>
  </si>
  <si>
    <t xml:space="preserve">Durchmesser des Kolbens der kalten Seite   </t>
  </si>
  <si>
    <t xml:space="preserve">Kurbelradius auf der heißen Seite     </t>
  </si>
  <si>
    <t xml:space="preserve">Kurbelradius auf der kalten Seite    </t>
  </si>
  <si>
    <t>Pleuelstangenlänge auf der kalten Seite</t>
  </si>
  <si>
    <t>Pleuelstangenlänge auf der heißen Seite</t>
  </si>
  <si>
    <t xml:space="preserve">Kurbelwinkel auf der heißen Seite                     </t>
  </si>
  <si>
    <r>
      <t>r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[mm]</t>
    </r>
  </si>
  <si>
    <r>
      <t>l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[mm]</t>
    </r>
  </si>
  <si>
    <r>
      <t>V</t>
    </r>
    <r>
      <rPr>
        <vertAlign val="subscript"/>
        <sz val="9"/>
        <rFont val="Arial Narrow"/>
        <family val="2"/>
      </rPr>
      <t>CD</t>
    </r>
    <r>
      <rPr>
        <sz val="9"/>
        <rFont val="Arial Narrow"/>
        <family val="2"/>
      </rPr>
      <t xml:space="preserve"> [mm³]</t>
    </r>
  </si>
  <si>
    <r>
      <t>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[°C] </t>
    </r>
  </si>
  <si>
    <r>
      <t>{[V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>+cos(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>]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+[sin(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>]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}</t>
    </r>
    <r>
      <rPr>
        <vertAlign val="superscript"/>
        <sz val="9"/>
        <rFont val="Arial Narrow"/>
        <family val="2"/>
      </rPr>
      <t>1/2</t>
    </r>
  </si>
  <si>
    <r>
      <t>arctan{[sin(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>]/[V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>+cos(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>]}</t>
    </r>
  </si>
  <si>
    <r>
      <t>p</t>
    </r>
    <r>
      <rPr>
        <sz val="9"/>
        <rFont val="Arial Narrow"/>
        <family val="2"/>
      </rPr>
      <t>+arctan{[sin(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]/[V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+cos(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]</t>
    </r>
  </si>
  <si>
    <r>
      <t>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(1-cos(</t>
    </r>
    <r>
      <rPr>
        <sz val="9"/>
        <rFont val="Symbol"/>
        <family val="1"/>
      </rPr>
      <t>j</t>
    </r>
    <r>
      <rPr>
        <vertAlign val="subscript"/>
        <sz val="9"/>
        <rFont val="Arial Narrow"/>
        <family val="2"/>
      </rPr>
      <t>Vmax</t>
    </r>
    <r>
      <rPr>
        <sz val="9"/>
        <rFont val="Arial Narrow"/>
        <family val="2"/>
      </rPr>
      <t>))+V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 xml:space="preserve"> (1-cos(</t>
    </r>
    <r>
      <rPr>
        <sz val="9"/>
        <rFont val="Symbol"/>
        <family val="1"/>
      </rPr>
      <t>j</t>
    </r>
    <r>
      <rPr>
        <vertAlign val="subscript"/>
        <sz val="9"/>
        <rFont val="Arial Narrow"/>
        <family val="2"/>
      </rPr>
      <t>Vmax</t>
    </r>
    <r>
      <rPr>
        <sz val="9"/>
        <rFont val="Arial Narrow"/>
        <family val="2"/>
      </rPr>
      <t>-</t>
    </r>
    <r>
      <rPr>
        <sz val="9"/>
        <rFont val="Symbol"/>
        <family val="1"/>
      </rPr>
      <t>a</t>
    </r>
    <r>
      <rPr>
        <sz val="9"/>
        <rFont val="Arial Narrow"/>
        <family val="2"/>
      </rPr>
      <t xml:space="preserve">) </t>
    </r>
  </si>
  <si>
    <r>
      <t>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(1-cos(</t>
    </r>
    <r>
      <rPr>
        <sz val="9"/>
        <rFont val="Symbol"/>
        <family val="1"/>
      </rPr>
      <t>j</t>
    </r>
    <r>
      <rPr>
        <vertAlign val="subscript"/>
        <sz val="9"/>
        <rFont val="Arial Narrow"/>
        <family val="2"/>
      </rPr>
      <t>Vmin</t>
    </r>
    <r>
      <rPr>
        <sz val="9"/>
        <rFont val="Arial Narrow"/>
        <family val="2"/>
      </rPr>
      <t>))+V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 xml:space="preserve"> (1-cos(</t>
    </r>
    <r>
      <rPr>
        <sz val="9"/>
        <rFont val="Symbol"/>
        <family val="1"/>
      </rPr>
      <t>j</t>
    </r>
    <r>
      <rPr>
        <vertAlign val="subscript"/>
        <sz val="9"/>
        <rFont val="Arial Narrow"/>
        <family val="2"/>
      </rPr>
      <t>Vmin</t>
    </r>
    <r>
      <rPr>
        <sz val="9"/>
        <rFont val="Arial Narrow"/>
        <family val="2"/>
      </rPr>
      <t>-</t>
    </r>
    <r>
      <rPr>
        <sz val="9"/>
        <rFont val="Symbol"/>
        <family val="1"/>
      </rPr>
      <t>a</t>
    </r>
    <r>
      <rPr>
        <sz val="9"/>
        <rFont val="Arial Narrow"/>
        <family val="2"/>
      </rPr>
      <t xml:space="preserve">) </t>
    </r>
  </si>
  <si>
    <r>
      <t>arctan{[sin(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]/[V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+cos(</t>
    </r>
    <r>
      <rPr>
        <sz val="9"/>
        <rFont val="Symbol"/>
        <family val="1"/>
      </rPr>
      <t>a</t>
    </r>
    <r>
      <rPr>
        <sz val="9"/>
        <rFont val="Arial Narrow"/>
        <family val="2"/>
      </rPr>
      <t>)V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]</t>
    </r>
  </si>
  <si>
    <r>
      <t>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[°C] </t>
    </r>
  </si>
  <si>
    <r>
      <t>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+273</t>
    </r>
  </si>
  <si>
    <r>
      <t>V</t>
    </r>
    <r>
      <rPr>
        <vertAlign val="subscript"/>
        <sz val="9"/>
        <rFont val="Arial Narrow"/>
        <family val="2"/>
      </rPr>
      <t>Hmean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HD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H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CD</t>
    </r>
    <r>
      <rPr>
        <sz val="9"/>
        <rFont val="Arial Narrow"/>
        <family val="2"/>
      </rPr>
      <t>/T</t>
    </r>
    <r>
      <rPr>
        <vertAlign val="subscript"/>
        <sz val="9"/>
        <rFont val="Arial Narrow"/>
        <family val="2"/>
      </rPr>
      <t>C</t>
    </r>
  </si>
  <si>
    <r>
      <t>V</t>
    </r>
    <r>
      <rPr>
        <vertAlign val="subscript"/>
        <sz val="9"/>
        <rFont val="Arial Narrow"/>
        <family val="2"/>
      </rPr>
      <t>HD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</si>
  <si>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CD</t>
    </r>
    <r>
      <rPr>
        <sz val="9"/>
        <rFont val="Arial Narrow"/>
        <family val="2"/>
      </rPr>
      <t xml:space="preserve"> [m³]</t>
    </r>
  </si>
  <si>
    <r>
      <t>V</t>
    </r>
    <r>
      <rPr>
        <vertAlign val="subscript"/>
        <sz val="9"/>
        <rFont val="Arial Narrow"/>
        <family val="2"/>
      </rPr>
      <t>Cmean</t>
    </r>
    <r>
      <rPr>
        <sz val="9"/>
        <rFont val="Arial Narrow"/>
        <family val="2"/>
      </rPr>
      <t xml:space="preserve"> [m³]</t>
    </r>
  </si>
  <si>
    <r>
      <t>d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[m]</t>
    </r>
  </si>
  <si>
    <r>
      <t>r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[m]</t>
    </r>
  </si>
  <si>
    <r>
      <t>l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[m]</t>
    </r>
  </si>
  <si>
    <r>
      <t>l</t>
    </r>
    <r>
      <rPr>
        <sz val="9"/>
        <rFont val="Arial Narrow"/>
        <family val="2"/>
      </rPr>
      <t xml:space="preserve"> </t>
    </r>
    <r>
      <rPr>
        <vertAlign val="subscript"/>
        <sz val="9"/>
        <rFont val="Arial Narrow"/>
        <family val="2"/>
      </rPr>
      <t>C</t>
    </r>
    <r>
      <rPr>
        <sz val="9"/>
        <rFont val="Arial Narrow"/>
        <family val="2"/>
      </rPr>
      <t xml:space="preserve"> [ - ]</t>
    </r>
  </si>
  <si>
    <r>
      <t>r</t>
    </r>
    <r>
      <rPr>
        <vertAlign val="subscript"/>
        <sz val="9"/>
        <rFont val="Arial Narrow"/>
        <family val="2"/>
      </rPr>
      <t xml:space="preserve">C </t>
    </r>
    <r>
      <rPr>
        <sz val="9"/>
        <rFont val="Arial Narrow"/>
        <family val="2"/>
      </rPr>
      <t>/ l</t>
    </r>
    <r>
      <rPr>
        <vertAlign val="subscript"/>
        <sz val="9"/>
        <rFont val="Arial Narrow"/>
        <family val="2"/>
      </rPr>
      <t>C</t>
    </r>
  </si>
  <si>
    <t>Volumen des Regenerator        (heiss↔kalt)</t>
  </si>
  <si>
    <t xml:space="preserve">Pleuelstangenverhältnis der heißen Seite     </t>
  </si>
  <si>
    <t xml:space="preserve">Pleuelstangenverhältnisd der kalten seite    </t>
  </si>
  <si>
    <t xml:space="preserve">Winkelgeschwindigkeit  der Kurbelwelle                </t>
  </si>
  <si>
    <t>Kurbelwinkelversatz der Kurbeln der heißen und kalten seite</t>
  </si>
  <si>
    <t xml:space="preserve">Totraum der heißen Seite                            </t>
  </si>
  <si>
    <t xml:space="preserve">Totraum der kalten Seite                        </t>
  </si>
  <si>
    <t>Kurbelwinkelversatz der Kurbeln der heißen und kalten Seite</t>
  </si>
  <si>
    <t>Kurbelwinkel der heißen seiet</t>
  </si>
  <si>
    <t>Pleuelstangenlänge der kalten Seite</t>
  </si>
  <si>
    <t>Pleuelstangenlänge der heißen Seite</t>
  </si>
  <si>
    <t xml:space="preserve">Kurbelradius der kalten Seite                    </t>
  </si>
  <si>
    <t xml:space="preserve">Durchmesser des Kolbens der  kalte Seite  </t>
  </si>
  <si>
    <t>variabel</t>
  </si>
  <si>
    <t>Temperatur der heißen Seite</t>
  </si>
  <si>
    <t xml:space="preserve">Durchmesser des Kolbensd er heißen Seite       </t>
  </si>
  <si>
    <t xml:space="preserve">Kurbelradius der heißen Seite                    </t>
  </si>
  <si>
    <t xml:space="preserve">Temperatur der kalten Seoite                </t>
  </si>
  <si>
    <t>Temperatur des Regenrator    (heiss↔kalt)</t>
  </si>
  <si>
    <t>Zugeführte Wärme</t>
  </si>
  <si>
    <t>Abgeführte Wärme</t>
  </si>
  <si>
    <t>Zugeführte Energie / Wärme im heißen Zylinder</t>
  </si>
  <si>
    <t>Abgeführte Energie / Wärme im kalten Zylinder</t>
  </si>
  <si>
    <r>
      <t>Q</t>
    </r>
    <r>
      <rPr>
        <vertAlign val="subscript"/>
        <sz val="9"/>
        <color indexed="61"/>
        <rFont val="Arial Narrow"/>
        <family val="2"/>
      </rPr>
      <t>out</t>
    </r>
    <r>
      <rPr>
        <sz val="9"/>
        <color indexed="61"/>
        <rFont val="Arial Narrow"/>
        <family val="2"/>
      </rPr>
      <t xml:space="preserve"> [kgm²/s²]</t>
    </r>
  </si>
  <si>
    <r>
      <t>2 C</t>
    </r>
    <r>
      <rPr>
        <vertAlign val="subscript"/>
        <sz val="9"/>
        <color indexed="61"/>
        <rFont val="Arial Narrow"/>
        <family val="2"/>
      </rPr>
      <t xml:space="preserve">p </t>
    </r>
    <r>
      <rPr>
        <sz val="9"/>
        <color indexed="61"/>
        <rFont val="Arial Narrow"/>
        <family val="2"/>
      </rPr>
      <t xml:space="preserve"> </t>
    </r>
    <r>
      <rPr>
        <sz val="9"/>
        <color indexed="61"/>
        <rFont val="Symbol"/>
        <family val="1"/>
      </rPr>
      <t>r</t>
    </r>
    <r>
      <rPr>
        <sz val="9"/>
        <color indexed="61"/>
        <rFont val="Arial Narrow"/>
        <family val="2"/>
      </rPr>
      <t xml:space="preserve"> V</t>
    </r>
    <r>
      <rPr>
        <vertAlign val="subscript"/>
        <sz val="9"/>
        <color indexed="61"/>
        <rFont val="Arial Narrow"/>
        <family val="2"/>
      </rPr>
      <t xml:space="preserve">Cmean </t>
    </r>
    <r>
      <rPr>
        <sz val="9"/>
        <color indexed="61"/>
        <rFont val="Arial Narrow"/>
        <family val="2"/>
      </rPr>
      <t xml:space="preserve"> (T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>-T</t>
    </r>
    <r>
      <rPr>
        <vertAlign val="subscript"/>
        <sz val="9"/>
        <color indexed="61"/>
        <rFont val="Arial Narrow"/>
        <family val="2"/>
      </rPr>
      <t>C</t>
    </r>
    <r>
      <rPr>
        <sz val="9"/>
        <color indexed="61"/>
        <rFont val="Arial Narrow"/>
        <family val="2"/>
      </rPr>
      <t>)</t>
    </r>
  </si>
  <si>
    <r>
      <t>D</t>
    </r>
    <r>
      <rPr>
        <sz val="9"/>
        <color indexed="61"/>
        <rFont val="Arial Narrow"/>
        <family val="2"/>
      </rPr>
      <t>Q</t>
    </r>
    <r>
      <rPr>
        <sz val="9"/>
        <color indexed="61"/>
        <rFont val="Arial Narrow"/>
        <family val="2"/>
      </rPr>
      <t xml:space="preserve"> [kgm²/s²]</t>
    </r>
  </si>
  <si>
    <r>
      <t>2 C</t>
    </r>
    <r>
      <rPr>
        <vertAlign val="subscript"/>
        <sz val="9"/>
        <color indexed="61"/>
        <rFont val="Arial Narrow"/>
        <family val="2"/>
      </rPr>
      <t xml:space="preserve">p </t>
    </r>
    <r>
      <rPr>
        <sz val="9"/>
        <color indexed="61"/>
        <rFont val="Arial Narrow"/>
        <family val="2"/>
      </rPr>
      <t>p</t>
    </r>
    <r>
      <rPr>
        <vertAlign val="subscript"/>
        <sz val="9"/>
        <color indexed="61"/>
        <rFont val="Arial Narrow"/>
        <family val="2"/>
      </rPr>
      <t>mean</t>
    </r>
    <r>
      <rPr>
        <sz val="9"/>
        <color indexed="61"/>
        <rFont val="Arial Narrow"/>
        <family val="2"/>
      </rPr>
      <t>V</t>
    </r>
    <r>
      <rPr>
        <vertAlign val="subscript"/>
        <sz val="9"/>
        <color indexed="61"/>
        <rFont val="Arial Narrow"/>
        <family val="2"/>
      </rPr>
      <t>Cmean</t>
    </r>
    <r>
      <rPr>
        <sz val="9"/>
        <color indexed="61"/>
        <rFont val="Arial Narrow"/>
        <family val="2"/>
      </rPr>
      <t>/(R</t>
    </r>
    <r>
      <rPr>
        <vertAlign val="subscript"/>
        <sz val="9"/>
        <color indexed="61"/>
        <rFont val="Arial Narrow"/>
        <family val="2"/>
      </rPr>
      <t>S</t>
    </r>
    <r>
      <rPr>
        <sz val="9"/>
        <color indexed="61"/>
        <rFont val="Arial Narrow"/>
        <family val="2"/>
      </rPr>
      <t>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 xml:space="preserve">) </t>
    </r>
    <r>
      <rPr>
        <vertAlign val="subscript"/>
        <sz val="9"/>
        <color indexed="61"/>
        <rFont val="Arial Narrow"/>
        <family val="2"/>
      </rPr>
      <t xml:space="preserve"> </t>
    </r>
    <r>
      <rPr>
        <sz val="9"/>
        <color indexed="61"/>
        <rFont val="Arial Narrow"/>
        <family val="2"/>
      </rPr>
      <t xml:space="preserve"> (T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>-T</t>
    </r>
    <r>
      <rPr>
        <vertAlign val="subscript"/>
        <sz val="9"/>
        <color indexed="61"/>
        <rFont val="Arial Narrow"/>
        <family val="2"/>
      </rPr>
      <t>C</t>
    </r>
    <r>
      <rPr>
        <sz val="9"/>
        <color indexed="61"/>
        <rFont val="Arial Narrow"/>
        <family val="2"/>
      </rPr>
      <t xml:space="preserve">) </t>
    </r>
  </si>
  <si>
    <t>Differenz</t>
  </si>
  <si>
    <t>maximales  Volumen des Systems</t>
  </si>
  <si>
    <t>minimales   Volumen des Systems</t>
  </si>
  <si>
    <t>Regenerator Temperatur fest legen</t>
  </si>
  <si>
    <t>Werte mit der realen Kolbenbewegung</t>
  </si>
  <si>
    <r>
      <t>W</t>
    </r>
    <r>
      <rPr>
        <vertAlign val="subscript"/>
        <sz val="9"/>
        <color indexed="17"/>
        <rFont val="Arial Narrow"/>
        <family val="2"/>
      </rPr>
      <t>S</t>
    </r>
    <r>
      <rPr>
        <sz val="9"/>
        <color indexed="17"/>
        <rFont val="Arial Narrow"/>
        <family val="2"/>
      </rPr>
      <t xml:space="preserve"> [kgm²/s²]</t>
    </r>
  </si>
  <si>
    <r>
      <t>P</t>
    </r>
    <r>
      <rPr>
        <vertAlign val="subscript"/>
        <sz val="8"/>
        <color indexed="17"/>
        <rFont val="Arial Narrow"/>
        <family val="2"/>
      </rPr>
      <t>S</t>
    </r>
    <r>
      <rPr>
        <sz val="8"/>
        <color indexed="17"/>
        <rFont val="Arial Narrow"/>
        <family val="2"/>
      </rPr>
      <t xml:space="preserve"> [W=kg m²/s³]</t>
    </r>
  </si>
  <si>
    <r>
      <t>W</t>
    </r>
    <r>
      <rPr>
        <vertAlign val="subscript"/>
        <sz val="9"/>
        <color indexed="16"/>
        <rFont val="Arial Narrow"/>
        <family val="2"/>
      </rPr>
      <t>Re</t>
    </r>
    <r>
      <rPr>
        <sz val="9"/>
        <color indexed="16"/>
        <rFont val="Arial Narrow"/>
        <family val="2"/>
      </rPr>
      <t xml:space="preserve"> [kgm²/s²]</t>
    </r>
  </si>
  <si>
    <r>
      <t>P</t>
    </r>
    <r>
      <rPr>
        <vertAlign val="subscript"/>
        <sz val="8"/>
        <color indexed="16"/>
        <rFont val="Arial Narrow"/>
        <family val="2"/>
      </rPr>
      <t>Re</t>
    </r>
    <r>
      <rPr>
        <sz val="8"/>
        <color indexed="16"/>
        <rFont val="Arial Narrow"/>
        <family val="2"/>
      </rPr>
      <t xml:space="preserve"> [W=kg m²/s³]</t>
    </r>
  </si>
  <si>
    <t>minimaler  Druck</t>
  </si>
  <si>
    <r>
      <t>p</t>
    </r>
    <r>
      <rPr>
        <vertAlign val="subscript"/>
        <sz val="9"/>
        <color indexed="16"/>
        <rFont val="Arial Narrow"/>
        <family val="2"/>
      </rPr>
      <t>max</t>
    </r>
    <r>
      <rPr>
        <sz val="9"/>
        <color indexed="16"/>
        <rFont val="Arial Narrow"/>
        <family val="2"/>
      </rPr>
      <t xml:space="preserve"> [kg/(m s²)]</t>
    </r>
  </si>
  <si>
    <r>
      <t>p</t>
    </r>
    <r>
      <rPr>
        <vertAlign val="subscript"/>
        <sz val="9"/>
        <color indexed="16"/>
        <rFont val="Arial Narrow"/>
        <family val="2"/>
      </rPr>
      <t>min</t>
    </r>
    <r>
      <rPr>
        <sz val="9"/>
        <color indexed="16"/>
        <rFont val="Arial Narrow"/>
        <family val="2"/>
      </rPr>
      <t xml:space="preserve"> [kg/(m s²)]</t>
    </r>
  </si>
  <si>
    <t>eigene Rechnung</t>
  </si>
  <si>
    <t>mittlerer Druck</t>
  </si>
  <si>
    <r>
      <t>p</t>
    </r>
    <r>
      <rPr>
        <vertAlign val="subscript"/>
        <sz val="9"/>
        <color indexed="16"/>
        <rFont val="Arial Narrow"/>
        <family val="2"/>
      </rPr>
      <t>mean</t>
    </r>
    <r>
      <rPr>
        <sz val="9"/>
        <color indexed="16"/>
        <rFont val="Arial Narrow"/>
        <family val="2"/>
      </rPr>
      <t xml:space="preserve"> [kg/(m s²)]</t>
    </r>
  </si>
  <si>
    <r>
      <t>h</t>
    </r>
    <r>
      <rPr>
        <vertAlign val="subscript"/>
        <sz val="9"/>
        <color indexed="17"/>
        <rFont val="Arial Narrow"/>
        <family val="2"/>
      </rPr>
      <t>SMech</t>
    </r>
    <r>
      <rPr>
        <sz val="9"/>
        <color indexed="17"/>
        <rFont val="Arial Narrow"/>
        <family val="2"/>
      </rPr>
      <t xml:space="preserve"> [-]</t>
    </r>
  </si>
  <si>
    <r>
      <t>W</t>
    </r>
    <r>
      <rPr>
        <vertAlign val="subscript"/>
        <sz val="9"/>
        <color indexed="17"/>
        <rFont val="Arial Narrow"/>
        <family val="2"/>
      </rPr>
      <t>H/s</t>
    </r>
    <r>
      <rPr>
        <sz val="9"/>
        <color indexed="17"/>
        <rFont val="Arial Narrow"/>
        <family val="2"/>
      </rPr>
      <t xml:space="preserve"> [kgm²/s²]</t>
    </r>
  </si>
  <si>
    <r>
      <t xml:space="preserve">2 p  </t>
    </r>
    <r>
      <rPr>
        <sz val="9"/>
        <color indexed="17"/>
        <rFont val="Arial Narrow"/>
        <family val="2"/>
      </rPr>
      <t>p</t>
    </r>
    <r>
      <rPr>
        <vertAlign val="subscript"/>
        <sz val="9"/>
        <color indexed="17"/>
        <rFont val="Arial Narrow"/>
        <family val="2"/>
      </rPr>
      <t>mean</t>
    </r>
    <r>
      <rPr>
        <sz val="9"/>
        <color indexed="17"/>
        <rFont val="Arial Narrow"/>
        <family val="2"/>
      </rPr>
      <t xml:space="preserve"> [1-(1-b</t>
    </r>
    <r>
      <rPr>
        <vertAlign val="superscript"/>
        <sz val="9"/>
        <color indexed="17"/>
        <rFont val="Arial Narrow"/>
        <family val="2"/>
      </rPr>
      <t>2</t>
    </r>
    <r>
      <rPr>
        <sz val="9"/>
        <color indexed="17"/>
        <rFont val="Arial Narrow"/>
        <family val="2"/>
      </rPr>
      <t>)</t>
    </r>
    <r>
      <rPr>
        <vertAlign val="superscript"/>
        <sz val="9"/>
        <color indexed="17"/>
        <rFont val="Arial Narrow"/>
        <family val="2"/>
      </rPr>
      <t>1/2</t>
    </r>
    <r>
      <rPr>
        <sz val="9"/>
        <color indexed="17"/>
        <rFont val="Arial Narrow"/>
        <family val="2"/>
      </rPr>
      <t>]/b· [sin(</t>
    </r>
    <r>
      <rPr>
        <sz val="9"/>
        <color indexed="17"/>
        <rFont val="Symbol"/>
        <family val="1"/>
      </rPr>
      <t>b</t>
    </r>
    <r>
      <rPr>
        <sz val="9"/>
        <color indexed="17"/>
        <rFont val="Arial Narrow"/>
        <family val="2"/>
      </rPr>
      <t>) V</t>
    </r>
    <r>
      <rPr>
        <vertAlign val="subscript"/>
        <sz val="9"/>
        <color indexed="17"/>
        <rFont val="Arial Narrow"/>
        <family val="2"/>
      </rPr>
      <t>Hmean</t>
    </r>
    <r>
      <rPr>
        <sz val="9"/>
        <color indexed="17"/>
        <rFont val="Arial Narrow"/>
        <family val="2"/>
      </rPr>
      <t>]</t>
    </r>
  </si>
  <si>
    <r>
      <t>W</t>
    </r>
    <r>
      <rPr>
        <vertAlign val="subscript"/>
        <sz val="9"/>
        <color indexed="17"/>
        <rFont val="Arial Narrow"/>
        <family val="2"/>
      </rPr>
      <t>C/S</t>
    </r>
    <r>
      <rPr>
        <sz val="9"/>
        <color indexed="17"/>
        <rFont val="Arial Narrow"/>
        <family val="2"/>
      </rPr>
      <t xml:space="preserve"> [kgm²/s²]</t>
    </r>
  </si>
  <si>
    <r>
      <t xml:space="preserve">2 p  </t>
    </r>
    <r>
      <rPr>
        <sz val="9"/>
        <color indexed="17"/>
        <rFont val="Arial Narrow"/>
        <family val="2"/>
      </rPr>
      <t>p</t>
    </r>
    <r>
      <rPr>
        <vertAlign val="subscript"/>
        <sz val="9"/>
        <color indexed="17"/>
        <rFont val="Arial Narrow"/>
        <family val="2"/>
      </rPr>
      <t>mean</t>
    </r>
    <r>
      <rPr>
        <sz val="9"/>
        <color indexed="17"/>
        <rFont val="Arial Narrow"/>
        <family val="2"/>
      </rPr>
      <t xml:space="preserve"> [1-(1-b</t>
    </r>
    <r>
      <rPr>
        <vertAlign val="superscript"/>
        <sz val="9"/>
        <color indexed="17"/>
        <rFont val="Arial Narrow"/>
        <family val="2"/>
      </rPr>
      <t>2</t>
    </r>
    <r>
      <rPr>
        <sz val="9"/>
        <color indexed="17"/>
        <rFont val="Arial Narrow"/>
        <family val="2"/>
      </rPr>
      <t>)</t>
    </r>
    <r>
      <rPr>
        <vertAlign val="superscript"/>
        <sz val="9"/>
        <color indexed="17"/>
        <rFont val="Arial Narrow"/>
        <family val="2"/>
      </rPr>
      <t>1/2</t>
    </r>
    <r>
      <rPr>
        <sz val="9"/>
        <color indexed="17"/>
        <rFont val="Arial Narrow"/>
        <family val="2"/>
      </rPr>
      <t>/b]· [-sin(</t>
    </r>
    <r>
      <rPr>
        <sz val="9"/>
        <color indexed="17"/>
        <rFont val="Symbol"/>
        <family val="1"/>
      </rPr>
      <t>b+a</t>
    </r>
    <r>
      <rPr>
        <sz val="9"/>
        <color indexed="17"/>
        <rFont val="Arial Narrow"/>
        <family val="2"/>
      </rPr>
      <t>) V</t>
    </r>
    <r>
      <rPr>
        <vertAlign val="subscript"/>
        <sz val="9"/>
        <color indexed="17"/>
        <rFont val="Arial Narrow"/>
        <family val="2"/>
      </rPr>
      <t>Cmean</t>
    </r>
    <r>
      <rPr>
        <sz val="9"/>
        <color indexed="17"/>
        <rFont val="Arial Narrow"/>
        <family val="2"/>
      </rPr>
      <t>]</t>
    </r>
  </si>
  <si>
    <r>
      <t>W</t>
    </r>
    <r>
      <rPr>
        <vertAlign val="subscript"/>
        <sz val="9"/>
        <color indexed="17"/>
        <rFont val="Arial Narrow"/>
        <family val="2"/>
      </rPr>
      <t>S</t>
    </r>
    <r>
      <rPr>
        <sz val="9"/>
        <color indexed="17"/>
        <rFont val="Arial Narrow"/>
        <family val="2"/>
      </rPr>
      <t>/W</t>
    </r>
    <r>
      <rPr>
        <vertAlign val="subscript"/>
        <sz val="9"/>
        <color indexed="17"/>
        <rFont val="Arial Narrow"/>
        <family val="2"/>
      </rPr>
      <t>H/S</t>
    </r>
  </si>
  <si>
    <r>
      <t xml:space="preserve">w  </t>
    </r>
    <r>
      <rPr>
        <sz val="9"/>
        <color indexed="17"/>
        <rFont val="Arial Narrow"/>
        <family val="2"/>
      </rPr>
      <t>p</t>
    </r>
    <r>
      <rPr>
        <vertAlign val="subscript"/>
        <sz val="9"/>
        <color indexed="17"/>
        <rFont val="Arial Narrow"/>
        <family val="2"/>
      </rPr>
      <t>mean</t>
    </r>
    <r>
      <rPr>
        <sz val="9"/>
        <color indexed="17"/>
        <rFont val="Arial Narrow"/>
        <family val="2"/>
      </rPr>
      <t xml:space="preserve"> [1-(1-b</t>
    </r>
    <r>
      <rPr>
        <vertAlign val="superscript"/>
        <sz val="9"/>
        <color indexed="17"/>
        <rFont val="Arial Narrow"/>
        <family val="2"/>
      </rPr>
      <t>2</t>
    </r>
    <r>
      <rPr>
        <sz val="9"/>
        <color indexed="17"/>
        <rFont val="Arial Narrow"/>
        <family val="2"/>
      </rPr>
      <t>)</t>
    </r>
    <r>
      <rPr>
        <vertAlign val="superscript"/>
        <sz val="9"/>
        <color indexed="17"/>
        <rFont val="Arial Narrow"/>
        <family val="2"/>
      </rPr>
      <t>1/2</t>
    </r>
    <r>
      <rPr>
        <sz val="9"/>
        <color indexed="17"/>
        <rFont val="Arial Narrow"/>
        <family val="2"/>
      </rPr>
      <t>/b]· [sin(</t>
    </r>
    <r>
      <rPr>
        <sz val="9"/>
        <color indexed="17"/>
        <rFont val="Symbol"/>
        <family val="1"/>
      </rPr>
      <t>b</t>
    </r>
    <r>
      <rPr>
        <sz val="9"/>
        <color indexed="17"/>
        <rFont val="Arial Narrow"/>
        <family val="2"/>
      </rPr>
      <t>) V</t>
    </r>
    <r>
      <rPr>
        <vertAlign val="subscript"/>
        <sz val="9"/>
        <color indexed="17"/>
        <rFont val="Arial Narrow"/>
        <family val="2"/>
      </rPr>
      <t>Hmean</t>
    </r>
    <r>
      <rPr>
        <sz val="9"/>
        <color indexed="17"/>
        <rFont val="Arial Narrow"/>
        <family val="2"/>
      </rPr>
      <t>-sin(</t>
    </r>
    <r>
      <rPr>
        <sz val="9"/>
        <color indexed="17"/>
        <rFont val="Symbol"/>
        <family val="1"/>
      </rPr>
      <t>b+a</t>
    </r>
    <r>
      <rPr>
        <sz val="9"/>
        <color indexed="17"/>
        <rFont val="Arial Narrow"/>
        <family val="2"/>
      </rPr>
      <t>) V</t>
    </r>
    <r>
      <rPr>
        <vertAlign val="subscript"/>
        <sz val="9"/>
        <color indexed="17"/>
        <rFont val="Arial Narrow"/>
        <family val="2"/>
      </rPr>
      <t>Cmean</t>
    </r>
    <r>
      <rPr>
        <sz val="9"/>
        <color indexed="17"/>
        <rFont val="Arial Narrow"/>
        <family val="2"/>
      </rPr>
      <t>]</t>
    </r>
  </si>
  <si>
    <r>
      <t>Mit realem Kolbenweg</t>
    </r>
    <r>
      <rPr>
        <sz val="8"/>
        <color indexed="16"/>
        <rFont val="Arial Narrow"/>
        <family val="2"/>
      </rPr>
      <t xml:space="preserve"> (1 Umdrehung)</t>
    </r>
  </si>
  <si>
    <r>
      <t>W</t>
    </r>
    <r>
      <rPr>
        <vertAlign val="subscript"/>
        <sz val="8"/>
        <color indexed="16"/>
        <rFont val="Arial Narrow"/>
        <family val="2"/>
      </rPr>
      <t>Re</t>
    </r>
    <r>
      <rPr>
        <sz val="8"/>
        <color indexed="16"/>
        <rFont val="Arial Narrow"/>
        <family val="2"/>
      </rPr>
      <t xml:space="preserve"> [W=kgm²/s³]</t>
    </r>
  </si>
  <si>
    <t>Input</t>
  </si>
  <si>
    <r>
      <t>Q</t>
    </r>
    <r>
      <rPr>
        <vertAlign val="subscript"/>
        <sz val="9"/>
        <color indexed="61"/>
        <rFont val="Arial Narrow"/>
        <family val="2"/>
      </rPr>
      <t>H</t>
    </r>
    <r>
      <rPr>
        <sz val="9"/>
        <color indexed="61"/>
        <rFont val="Arial Narrow"/>
        <family val="2"/>
      </rPr>
      <t xml:space="preserve"> [kgm²/s²]</t>
    </r>
  </si>
  <si>
    <t>Kurbelwinkelversatz des Kolbens der kalten Seite</t>
  </si>
  <si>
    <t xml:space="preserve">Totraum im heißen Seite                                 </t>
  </si>
  <si>
    <t xml:space="preserve">Temperatur der heißen Seite                     </t>
  </si>
  <si>
    <t>Volumen des Regenerators   (heiss↔kalt)</t>
  </si>
  <si>
    <t>Drehzahl  der Kurbelwelle          (heiss + kalt)</t>
  </si>
  <si>
    <r>
      <t xml:space="preserve">Winkelvorgabe  für Kurbelwelle                                                              </t>
    </r>
    <r>
      <rPr>
        <sz val="14"/>
        <rFont val="Arial Narrow"/>
        <family val="2"/>
      </rPr>
      <t xml:space="preserve">  </t>
    </r>
    <r>
      <rPr>
        <sz val="9"/>
        <rFont val="Arial Narrow"/>
        <family val="2"/>
      </rPr>
      <t xml:space="preserve">    </t>
    </r>
  </si>
  <si>
    <r>
      <t>W</t>
    </r>
    <r>
      <rPr>
        <vertAlign val="subscript"/>
        <sz val="9"/>
        <color indexed="58"/>
        <rFont val="Arial Narrow"/>
        <family val="2"/>
      </rPr>
      <t>S</t>
    </r>
    <r>
      <rPr>
        <sz val="9"/>
        <color indexed="58"/>
        <rFont val="Arial Narrow"/>
        <family val="2"/>
      </rPr>
      <t xml:space="preserve"> [kgm²/s²]</t>
    </r>
  </si>
  <si>
    <r>
      <t>P</t>
    </r>
    <r>
      <rPr>
        <vertAlign val="subscript"/>
        <sz val="8"/>
        <color indexed="58"/>
        <rFont val="Arial Narrow"/>
        <family val="2"/>
      </rPr>
      <t>S</t>
    </r>
    <r>
      <rPr>
        <sz val="8"/>
        <color indexed="58"/>
        <rFont val="Arial Narrow"/>
        <family val="2"/>
      </rPr>
      <t xml:space="preserve"> [W=kg m²/s³]</t>
    </r>
  </si>
  <si>
    <r>
      <t>p</t>
    </r>
    <r>
      <rPr>
        <vertAlign val="subscript"/>
        <sz val="9"/>
        <color indexed="58"/>
        <rFont val="Arial Narrow"/>
        <family val="2"/>
      </rPr>
      <t>max</t>
    </r>
    <r>
      <rPr>
        <sz val="9"/>
        <color indexed="58"/>
        <rFont val="Arial Narrow"/>
        <family val="2"/>
      </rPr>
      <t xml:space="preserve"> [kg/(m s²)]</t>
    </r>
  </si>
  <si>
    <r>
      <t>p</t>
    </r>
    <r>
      <rPr>
        <vertAlign val="subscript"/>
        <sz val="9"/>
        <color indexed="58"/>
        <rFont val="Arial Narrow"/>
        <family val="2"/>
      </rPr>
      <t>mean</t>
    </r>
    <r>
      <rPr>
        <sz val="9"/>
        <color indexed="58"/>
        <rFont val="Arial Narrow"/>
        <family val="2"/>
      </rPr>
      <t xml:space="preserve"> [kg/(m s²)]</t>
    </r>
  </si>
  <si>
    <r>
      <t>p</t>
    </r>
    <r>
      <rPr>
        <vertAlign val="subscript"/>
        <sz val="9"/>
        <color indexed="58"/>
        <rFont val="Arial Narrow"/>
        <family val="2"/>
      </rPr>
      <t>min</t>
    </r>
    <r>
      <rPr>
        <sz val="9"/>
        <color indexed="58"/>
        <rFont val="Arial Narrow"/>
        <family val="2"/>
      </rPr>
      <t xml:space="preserve"> [kg/(m s²)]</t>
    </r>
  </si>
  <si>
    <r>
      <t xml:space="preserve">Temperatur des Regenerators </t>
    </r>
    <r>
      <rPr>
        <sz val="9"/>
        <color indexed="17"/>
        <rFont val="Arial Narrow"/>
        <family val="2"/>
      </rPr>
      <t xml:space="preserve"> (Siehe Ergebnisse!)</t>
    </r>
  </si>
  <si>
    <r>
      <t>Mit vereinfachtem Kolbenweg nach Schmidt</t>
    </r>
    <r>
      <rPr>
        <sz val="8"/>
        <color indexed="17"/>
        <rFont val="Arial Narrow"/>
        <family val="2"/>
      </rPr>
      <t xml:space="preserve"> (1 Umdrehung)</t>
    </r>
  </si>
  <si>
    <t xml:space="preserve">Mittelwert der  Leistung </t>
  </si>
  <si>
    <t>Arbeit während 1 Umdrehung der Kurbelwelle</t>
  </si>
  <si>
    <t xml:space="preserve">Mittelwert der Leistung </t>
  </si>
  <si>
    <r>
      <t>V</t>
    </r>
    <r>
      <rPr>
        <vertAlign val="subscript"/>
        <sz val="9"/>
        <rFont val="Arial Narrow"/>
        <family val="2"/>
      </rPr>
      <t>var/max</t>
    </r>
    <r>
      <rPr>
        <sz val="9"/>
        <rFont val="Arial Narrow"/>
        <family val="2"/>
      </rPr>
      <t xml:space="preserve"> + V</t>
    </r>
    <r>
      <rPr>
        <vertAlign val="subscript"/>
        <sz val="9"/>
        <rFont val="Arial Narrow"/>
        <family val="2"/>
      </rPr>
      <t>HD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CD</t>
    </r>
  </si>
  <si>
    <r>
      <t>V</t>
    </r>
    <r>
      <rPr>
        <vertAlign val="subscript"/>
        <sz val="9"/>
        <rFont val="Arial Narrow"/>
        <family val="2"/>
      </rPr>
      <t>var/min</t>
    </r>
    <r>
      <rPr>
        <sz val="9"/>
        <rFont val="Arial Narrow"/>
        <family val="2"/>
      </rPr>
      <t xml:space="preserve"> + V</t>
    </r>
    <r>
      <rPr>
        <vertAlign val="subscript"/>
        <sz val="9"/>
        <rFont val="Arial Narrow"/>
        <family val="2"/>
      </rPr>
      <t>HD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R</t>
    </r>
    <r>
      <rPr>
        <sz val="9"/>
        <rFont val="Arial Narrow"/>
        <family val="2"/>
      </rPr>
      <t>+V</t>
    </r>
    <r>
      <rPr>
        <vertAlign val="subscript"/>
        <sz val="9"/>
        <rFont val="Arial Narrow"/>
        <family val="2"/>
      </rPr>
      <t>CD</t>
    </r>
  </si>
  <si>
    <t>D</t>
  </si>
  <si>
    <t>maximales Volumen des Systems</t>
  </si>
  <si>
    <r>
      <t>V</t>
    </r>
    <r>
      <rPr>
        <vertAlign val="subscript"/>
        <sz val="9"/>
        <color indexed="16"/>
        <rFont val="Arial Narrow"/>
        <family val="2"/>
      </rPr>
      <t>max</t>
    </r>
    <r>
      <rPr>
        <sz val="9"/>
        <color indexed="16"/>
        <rFont val="Arial Narrow"/>
        <family val="2"/>
      </rPr>
      <t xml:space="preserve"> [mm³]</t>
    </r>
  </si>
  <si>
    <r>
      <t>1</t>
    </r>
    <r>
      <rPr>
        <sz val="8"/>
        <rFont val="Arial Narrow"/>
        <family val="2"/>
      </rPr>
      <t xml:space="preserve"> oder</t>
    </r>
    <r>
      <rPr>
        <b/>
        <sz val="8"/>
        <rFont val="Arial Narrow"/>
        <family val="2"/>
      </rPr>
      <t xml:space="preserve"> 0</t>
    </r>
  </si>
  <si>
    <r>
      <t>V</t>
    </r>
    <r>
      <rPr>
        <vertAlign val="subscript"/>
        <sz val="8"/>
        <rFont val="Arial Narrow"/>
        <family val="2"/>
      </rPr>
      <t>Re</t>
    </r>
    <r>
      <rPr>
        <sz val="8"/>
        <rFont val="Arial Narrow"/>
        <family val="2"/>
      </rPr>
      <t>/V</t>
    </r>
    <r>
      <rPr>
        <vertAlign val="subscript"/>
        <sz val="8"/>
        <rFont val="Arial Narrow"/>
        <family val="2"/>
      </rPr>
      <t>re.max</t>
    </r>
    <r>
      <rPr>
        <sz val="8"/>
        <rFont val="Arial Narrow"/>
        <family val="2"/>
      </rPr>
      <t xml:space="preserve"> [m³]</t>
    </r>
  </si>
  <si>
    <r>
      <t>p</t>
    </r>
    <r>
      <rPr>
        <vertAlign val="subscript"/>
        <sz val="8"/>
        <rFont val="Arial Narrow"/>
        <family val="2"/>
      </rPr>
      <t>Re</t>
    </r>
    <r>
      <rPr>
        <sz val="8"/>
        <rFont val="Arial Narrow"/>
        <family val="2"/>
      </rPr>
      <t>/p</t>
    </r>
    <r>
      <rPr>
        <vertAlign val="subscript"/>
        <sz val="8"/>
        <rFont val="Arial Narrow"/>
        <family val="2"/>
      </rPr>
      <t>Re.max</t>
    </r>
    <r>
      <rPr>
        <sz val="8"/>
        <rFont val="Arial Narrow"/>
        <family val="2"/>
      </rPr>
      <t xml:space="preserve"> [kg/(ms²]</t>
    </r>
  </si>
  <si>
    <r>
      <t>Q</t>
    </r>
    <r>
      <rPr>
        <vertAlign val="subscript"/>
        <sz val="9"/>
        <color indexed="61"/>
        <rFont val="Arial Narrow"/>
        <family val="2"/>
      </rPr>
      <t>C</t>
    </r>
    <r>
      <rPr>
        <sz val="9"/>
        <color indexed="61"/>
        <rFont val="Arial Narrow"/>
        <family val="2"/>
      </rPr>
      <t xml:space="preserve"> [kgm²/s²]</t>
    </r>
  </si>
  <si>
    <t>mittl. Druck</t>
  </si>
  <si>
    <t>"Dosis facit venenum." Paracelsus</t>
  </si>
  <si>
    <t>"De omnibus dubitandum."</t>
  </si>
  <si>
    <t>"Errare humanum est."  Cicero</t>
  </si>
  <si>
    <t>"Tempus fugit."</t>
  </si>
  <si>
    <t>"Cui bono?" Cassius</t>
  </si>
  <si>
    <t>"Carpe diem." Horaz</t>
  </si>
  <si>
    <t>"Nihil sine causa"</t>
  </si>
  <si>
    <t>"Difficilia quae pulchra." Erasmus von rotterdam</t>
  </si>
  <si>
    <t>"Est modus in rebus." Horaz</t>
  </si>
  <si>
    <t>Mit Toträumen</t>
  </si>
  <si>
    <t>ohne Toträume</t>
  </si>
  <si>
    <t>a* [m³/°K]</t>
  </si>
  <si>
    <t>b* [ - ]</t>
  </si>
  <si>
    <r>
      <t>{[V</t>
    </r>
    <r>
      <rPr>
        <vertAlign val="subscript"/>
        <sz val="9"/>
        <color indexed="18"/>
        <rFont val="Arial Narrow"/>
        <family val="2"/>
      </rPr>
      <t>Hmean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H</t>
    </r>
    <r>
      <rPr>
        <sz val="9"/>
        <color indexed="18"/>
        <rFont val="Arial Narrow"/>
        <family val="2"/>
      </rPr>
      <t>+cos(</t>
    </r>
    <r>
      <rPr>
        <sz val="9"/>
        <color indexed="18"/>
        <rFont val="Symbol"/>
        <family val="1"/>
      </rPr>
      <t>a</t>
    </r>
    <r>
      <rPr>
        <sz val="9"/>
        <color indexed="18"/>
        <rFont val="Arial Narrow"/>
        <family val="2"/>
      </rPr>
      <t>)V</t>
    </r>
    <r>
      <rPr>
        <vertAlign val="subscript"/>
        <sz val="9"/>
        <color indexed="18"/>
        <rFont val="Arial Narrow"/>
        <family val="2"/>
      </rPr>
      <t>Cmean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C</t>
    </r>
    <r>
      <rPr>
        <sz val="9"/>
        <color indexed="18"/>
        <rFont val="Arial Narrow"/>
        <family val="2"/>
      </rPr>
      <t>]</t>
    </r>
    <r>
      <rPr>
        <vertAlign val="superscript"/>
        <sz val="9"/>
        <color indexed="18"/>
        <rFont val="Arial Narrow"/>
        <family val="2"/>
      </rPr>
      <t>2</t>
    </r>
    <r>
      <rPr>
        <sz val="9"/>
        <color indexed="18"/>
        <rFont val="Arial Narrow"/>
        <family val="2"/>
      </rPr>
      <t>+[sin(</t>
    </r>
    <r>
      <rPr>
        <sz val="9"/>
        <color indexed="18"/>
        <rFont val="Symbol"/>
        <family val="1"/>
      </rPr>
      <t>a</t>
    </r>
    <r>
      <rPr>
        <sz val="9"/>
        <color indexed="18"/>
        <rFont val="Arial Narrow"/>
        <family val="2"/>
      </rPr>
      <t>)V</t>
    </r>
    <r>
      <rPr>
        <vertAlign val="subscript"/>
        <sz val="9"/>
        <color indexed="18"/>
        <rFont val="Arial Narrow"/>
        <family val="2"/>
      </rPr>
      <t>Cmean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C</t>
    </r>
    <r>
      <rPr>
        <sz val="9"/>
        <color indexed="18"/>
        <rFont val="Arial Narrow"/>
        <family val="2"/>
      </rPr>
      <t>]</t>
    </r>
    <r>
      <rPr>
        <vertAlign val="superscript"/>
        <sz val="9"/>
        <color indexed="18"/>
        <rFont val="Arial Narrow"/>
        <family val="2"/>
      </rPr>
      <t>2</t>
    </r>
    <r>
      <rPr>
        <sz val="9"/>
        <color indexed="18"/>
        <rFont val="Arial Narrow"/>
        <family val="2"/>
      </rPr>
      <t>}</t>
    </r>
    <r>
      <rPr>
        <vertAlign val="superscript"/>
        <sz val="9"/>
        <color indexed="18"/>
        <rFont val="Arial Narrow"/>
        <family val="2"/>
      </rPr>
      <t>1/2</t>
    </r>
  </si>
  <si>
    <r>
      <t>b</t>
    </r>
    <r>
      <rPr>
        <sz val="9"/>
        <color indexed="18"/>
        <rFont val="Arial Narrow"/>
        <family val="2"/>
      </rPr>
      <t xml:space="preserve"> [rad]</t>
    </r>
  </si>
  <si>
    <r>
      <t>arctan{[sin(</t>
    </r>
    <r>
      <rPr>
        <sz val="9"/>
        <color indexed="18"/>
        <rFont val="Symbol"/>
        <family val="1"/>
      </rPr>
      <t>a</t>
    </r>
    <r>
      <rPr>
        <sz val="9"/>
        <color indexed="18"/>
        <rFont val="Arial Narrow"/>
        <family val="2"/>
      </rPr>
      <t>)V</t>
    </r>
    <r>
      <rPr>
        <vertAlign val="subscript"/>
        <sz val="9"/>
        <color indexed="18"/>
        <rFont val="Arial Narrow"/>
        <family val="2"/>
      </rPr>
      <t>Cmean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C</t>
    </r>
    <r>
      <rPr>
        <sz val="9"/>
        <color indexed="18"/>
        <rFont val="Arial Narrow"/>
        <family val="2"/>
      </rPr>
      <t>]/[V</t>
    </r>
    <r>
      <rPr>
        <vertAlign val="subscript"/>
        <sz val="9"/>
        <color indexed="18"/>
        <rFont val="Arial Narrow"/>
        <family val="2"/>
      </rPr>
      <t>Hmean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H</t>
    </r>
    <r>
      <rPr>
        <sz val="9"/>
        <color indexed="18"/>
        <rFont val="Arial Narrow"/>
        <family val="2"/>
      </rPr>
      <t>+cos(</t>
    </r>
    <r>
      <rPr>
        <sz val="9"/>
        <color indexed="18"/>
        <rFont val="Symbol"/>
        <family val="1"/>
      </rPr>
      <t>a</t>
    </r>
    <r>
      <rPr>
        <sz val="9"/>
        <color indexed="18"/>
        <rFont val="Arial Narrow"/>
        <family val="2"/>
      </rPr>
      <t>)V</t>
    </r>
    <r>
      <rPr>
        <vertAlign val="subscript"/>
        <sz val="9"/>
        <color indexed="18"/>
        <rFont val="Arial Narrow"/>
        <family val="2"/>
      </rPr>
      <t>Cmean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C</t>
    </r>
    <r>
      <rPr>
        <sz val="9"/>
        <color indexed="18"/>
        <rFont val="Arial Narrow"/>
        <family val="2"/>
      </rPr>
      <t>]}</t>
    </r>
  </si>
  <si>
    <r>
      <t>p</t>
    </r>
    <r>
      <rPr>
        <vertAlign val="subscript"/>
        <sz val="9"/>
        <color indexed="18"/>
        <rFont val="Arial Narrow"/>
        <family val="2"/>
      </rPr>
      <t>mean</t>
    </r>
    <r>
      <rPr>
        <sz val="9"/>
        <color indexed="18"/>
        <rFont val="Arial Narrow"/>
        <family val="2"/>
      </rPr>
      <t xml:space="preserve"> [kg/(m s²]</t>
    </r>
  </si>
  <si>
    <r>
      <t>mR</t>
    </r>
    <r>
      <rPr>
        <vertAlign val="subscript"/>
        <sz val="9"/>
        <color indexed="18"/>
        <rFont val="Arial Narrow"/>
        <family val="2"/>
      </rPr>
      <t>S</t>
    </r>
    <r>
      <rPr>
        <sz val="9"/>
        <color indexed="18"/>
        <rFont val="Arial Narrow"/>
        <family val="2"/>
      </rPr>
      <t>/[a*(1-b*</t>
    </r>
    <r>
      <rPr>
        <vertAlign val="superscript"/>
        <sz val="9"/>
        <color indexed="18"/>
        <rFont val="Arial Narrow"/>
        <family val="2"/>
      </rPr>
      <t>2</t>
    </r>
    <r>
      <rPr>
        <sz val="9"/>
        <color indexed="18"/>
        <rFont val="Arial Narrow"/>
        <family val="2"/>
      </rPr>
      <t>)</t>
    </r>
    <r>
      <rPr>
        <vertAlign val="superscript"/>
        <sz val="9"/>
        <color indexed="18"/>
        <rFont val="Arial Narrow"/>
        <family val="2"/>
      </rPr>
      <t>1/2</t>
    </r>
    <r>
      <rPr>
        <sz val="9"/>
        <color indexed="18"/>
        <rFont val="Arial Narrow"/>
        <family val="2"/>
      </rPr>
      <t>]</t>
    </r>
  </si>
  <si>
    <r>
      <t xml:space="preserve">2 p  </t>
    </r>
    <r>
      <rPr>
        <sz val="9"/>
        <color indexed="18"/>
        <rFont val="Arial Narrow"/>
        <family val="2"/>
      </rPr>
      <t>p</t>
    </r>
    <r>
      <rPr>
        <vertAlign val="subscript"/>
        <sz val="9"/>
        <color indexed="18"/>
        <rFont val="Arial Narrow"/>
        <family val="2"/>
      </rPr>
      <t>mean</t>
    </r>
    <r>
      <rPr>
        <sz val="9"/>
        <color indexed="18"/>
        <rFont val="Arial Narrow"/>
        <family val="2"/>
      </rPr>
      <t xml:space="preserve"> [1-(1-b*</t>
    </r>
    <r>
      <rPr>
        <vertAlign val="superscript"/>
        <sz val="9"/>
        <color indexed="18"/>
        <rFont val="Arial Narrow"/>
        <family val="2"/>
      </rPr>
      <t>2</t>
    </r>
    <r>
      <rPr>
        <sz val="9"/>
        <color indexed="18"/>
        <rFont val="Arial Narrow"/>
        <family val="2"/>
      </rPr>
      <t>)</t>
    </r>
    <r>
      <rPr>
        <vertAlign val="superscript"/>
        <sz val="9"/>
        <color indexed="18"/>
        <rFont val="Arial Narrow"/>
        <family val="2"/>
      </rPr>
      <t>1/2</t>
    </r>
    <r>
      <rPr>
        <sz val="9"/>
        <color indexed="18"/>
        <rFont val="Arial Narrow"/>
        <family val="2"/>
      </rPr>
      <t>]/b*· [sin(</t>
    </r>
    <r>
      <rPr>
        <sz val="9"/>
        <color indexed="18"/>
        <rFont val="Symbol"/>
        <family val="1"/>
      </rPr>
      <t>b</t>
    </r>
    <r>
      <rPr>
        <sz val="9"/>
        <color indexed="18"/>
        <rFont val="Arial Narrow"/>
        <family val="2"/>
      </rPr>
      <t>) V</t>
    </r>
    <r>
      <rPr>
        <vertAlign val="subscript"/>
        <sz val="9"/>
        <color indexed="18"/>
        <rFont val="Arial Narrow"/>
        <family val="2"/>
      </rPr>
      <t>Hmean</t>
    </r>
    <r>
      <rPr>
        <sz val="9"/>
        <color indexed="18"/>
        <rFont val="Arial Narrow"/>
        <family val="2"/>
      </rPr>
      <t>]</t>
    </r>
  </si>
  <si>
    <r>
      <t>V</t>
    </r>
    <r>
      <rPr>
        <vertAlign val="subscript"/>
        <sz val="9"/>
        <color indexed="18"/>
        <rFont val="Arial Narrow"/>
        <family val="2"/>
      </rPr>
      <t>Hmean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H</t>
    </r>
    <r>
      <rPr>
        <sz val="9"/>
        <color indexed="18"/>
        <rFont val="Arial Narrow"/>
        <family val="2"/>
      </rPr>
      <t>+V</t>
    </r>
    <r>
      <rPr>
        <vertAlign val="subscript"/>
        <sz val="9"/>
        <color indexed="18"/>
        <rFont val="Arial Narrow"/>
        <family val="2"/>
      </rPr>
      <t>Cmean</t>
    </r>
    <r>
      <rPr>
        <sz val="9"/>
        <color indexed="18"/>
        <rFont val="Arial Narrow"/>
        <family val="2"/>
      </rPr>
      <t>/T</t>
    </r>
    <r>
      <rPr>
        <vertAlign val="subscript"/>
        <sz val="9"/>
        <color indexed="18"/>
        <rFont val="Arial Narrow"/>
        <family val="2"/>
      </rPr>
      <t>C</t>
    </r>
  </si>
  <si>
    <r>
      <t>W*</t>
    </r>
    <r>
      <rPr>
        <vertAlign val="subscript"/>
        <sz val="9"/>
        <color indexed="18"/>
        <rFont val="Arial Narrow"/>
        <family val="2"/>
      </rPr>
      <t>H/s</t>
    </r>
    <r>
      <rPr>
        <sz val="9"/>
        <color indexed="18"/>
        <rFont val="Arial Narrow"/>
        <family val="2"/>
      </rPr>
      <t xml:space="preserve"> [kgm²/s²]</t>
    </r>
  </si>
  <si>
    <r>
      <t>W*</t>
    </r>
    <r>
      <rPr>
        <vertAlign val="subscript"/>
        <sz val="9"/>
        <color indexed="18"/>
        <rFont val="Arial Narrow"/>
        <family val="2"/>
      </rPr>
      <t>C/S</t>
    </r>
    <r>
      <rPr>
        <sz val="9"/>
        <color indexed="18"/>
        <rFont val="Arial Narrow"/>
        <family val="2"/>
      </rPr>
      <t xml:space="preserve"> [kgm²/s²]</t>
    </r>
  </si>
  <si>
    <r>
      <t>W*</t>
    </r>
    <r>
      <rPr>
        <vertAlign val="subscript"/>
        <sz val="9"/>
        <color indexed="18"/>
        <rFont val="Arial Narrow"/>
        <family val="2"/>
      </rPr>
      <t>S</t>
    </r>
    <r>
      <rPr>
        <sz val="9"/>
        <color indexed="18"/>
        <rFont val="Arial Narrow"/>
        <family val="2"/>
      </rPr>
      <t xml:space="preserve"> [kgm²/s²]</t>
    </r>
  </si>
  <si>
    <t>c/a*</t>
  </si>
  <si>
    <r>
      <t xml:space="preserve">2 p  </t>
    </r>
    <r>
      <rPr>
        <sz val="9"/>
        <color indexed="18"/>
        <rFont val="Arial Narrow"/>
        <family val="2"/>
      </rPr>
      <t>p</t>
    </r>
    <r>
      <rPr>
        <vertAlign val="subscript"/>
        <sz val="9"/>
        <color indexed="18"/>
        <rFont val="Arial Narrow"/>
        <family val="2"/>
      </rPr>
      <t>mean</t>
    </r>
    <r>
      <rPr>
        <sz val="9"/>
        <color indexed="18"/>
        <rFont val="Arial Narrow"/>
        <family val="2"/>
      </rPr>
      <t xml:space="preserve"> [1-(1-b*</t>
    </r>
    <r>
      <rPr>
        <vertAlign val="superscript"/>
        <sz val="9"/>
        <color indexed="18"/>
        <rFont val="Arial Narrow"/>
        <family val="2"/>
      </rPr>
      <t>2</t>
    </r>
    <r>
      <rPr>
        <sz val="9"/>
        <color indexed="18"/>
        <rFont val="Arial Narrow"/>
        <family val="2"/>
      </rPr>
      <t>)</t>
    </r>
    <r>
      <rPr>
        <vertAlign val="superscript"/>
        <sz val="9"/>
        <color indexed="18"/>
        <rFont val="Arial Narrow"/>
        <family val="2"/>
      </rPr>
      <t>1/2</t>
    </r>
    <r>
      <rPr>
        <sz val="9"/>
        <color indexed="18"/>
        <rFont val="Arial Narrow"/>
        <family val="2"/>
      </rPr>
      <t>/b*]· [-sin(</t>
    </r>
    <r>
      <rPr>
        <sz val="9"/>
        <color indexed="18"/>
        <rFont val="Symbol"/>
        <family val="1"/>
      </rPr>
      <t>b+a</t>
    </r>
    <r>
      <rPr>
        <sz val="9"/>
        <color indexed="18"/>
        <rFont val="Arial Narrow"/>
        <family val="2"/>
      </rPr>
      <t>) V</t>
    </r>
    <r>
      <rPr>
        <vertAlign val="subscript"/>
        <sz val="9"/>
        <color indexed="18"/>
        <rFont val="Arial Narrow"/>
        <family val="2"/>
      </rPr>
      <t>Cmean</t>
    </r>
    <r>
      <rPr>
        <sz val="9"/>
        <color indexed="18"/>
        <rFont val="Arial Narrow"/>
        <family val="2"/>
      </rPr>
      <t>]</t>
    </r>
  </si>
  <si>
    <t xml:space="preserve">Temperatur der kalten Seite                </t>
  </si>
  <si>
    <t>Stirlingmotor Typ α: Berechnung des p-V-Diagramms nach der Theorie von Schmidt und mit realer Kinematik der Kolbenbewegung</t>
  </si>
  <si>
    <t>P1 = 0°</t>
  </si>
  <si>
    <t>90°</t>
  </si>
  <si>
    <t>0°</t>
  </si>
  <si>
    <t>180°</t>
  </si>
  <si>
    <t>270°</t>
  </si>
  <si>
    <r>
      <rPr>
        <sz val="8"/>
        <rFont val="Symbol"/>
        <family val="1"/>
      </rPr>
      <t>D</t>
    </r>
    <r>
      <rPr>
        <sz val="8"/>
        <rFont val="Arial Narrow"/>
        <family val="2"/>
      </rPr>
      <t>W [kgm²/s²]</t>
    </r>
  </si>
  <si>
    <t>auf Basis der Kräfte</t>
  </si>
  <si>
    <t>momentane Volumen- Arbeit</t>
  </si>
  <si>
    <t xml:space="preserve">momentaneArbeit </t>
  </si>
  <si>
    <t>info</t>
  </si>
  <si>
    <t>mittleres Drehmoment Mt</t>
  </si>
  <si>
    <t>Arbeit W [Nm]</t>
  </si>
  <si>
    <t>Leistung P [W]</t>
  </si>
  <si>
    <t xml:space="preserve"> Dichte der Luft bei Normbedingungen</t>
  </si>
  <si>
    <t>Temperatur der kalten Seite</t>
  </si>
  <si>
    <t>Darstellung in pV-Diagramm</t>
  </si>
  <si>
    <t>Werte nach der Schmidt-Analyse</t>
  </si>
  <si>
    <r>
      <t>…….….</t>
    </r>
    <r>
      <rPr>
        <b/>
        <sz val="8"/>
        <rFont val="Arial Narrow"/>
        <family val="2"/>
      </rPr>
      <t xml:space="preserve">.1 </t>
    </r>
    <r>
      <rPr>
        <sz val="8"/>
        <rFont val="Arial Narrow"/>
        <family val="2"/>
      </rPr>
      <t>für Log. Mittel wert               …….</t>
    </r>
    <r>
      <rPr>
        <b/>
        <sz val="8"/>
        <rFont val="Arial Narrow"/>
        <family val="2"/>
      </rPr>
      <t>0</t>
    </r>
    <r>
      <rPr>
        <sz val="8"/>
        <rFont val="Arial Narrow"/>
        <family val="2"/>
      </rPr>
      <t xml:space="preserve"> für arithm.Mittelwert </t>
    </r>
  </si>
  <si>
    <r>
      <t xml:space="preserve">  V</t>
    </r>
    <r>
      <rPr>
        <vertAlign val="subscript"/>
        <sz val="9"/>
        <color indexed="58"/>
        <rFont val="Arial Narrow"/>
        <family val="2"/>
      </rPr>
      <t>max</t>
    </r>
    <r>
      <rPr>
        <sz val="9"/>
        <color indexed="58"/>
        <rFont val="Arial Narrow"/>
        <family val="2"/>
      </rPr>
      <t xml:space="preserve"> [mm³]</t>
    </r>
  </si>
  <si>
    <r>
      <t>2 C</t>
    </r>
    <r>
      <rPr>
        <vertAlign val="subscript"/>
        <sz val="9"/>
        <color indexed="61"/>
        <rFont val="Arial Narrow"/>
        <family val="2"/>
      </rPr>
      <t xml:space="preserve">p </t>
    </r>
    <r>
      <rPr>
        <sz val="9"/>
        <color indexed="61"/>
        <rFont val="Arial Narrow"/>
        <family val="2"/>
      </rPr>
      <t>p</t>
    </r>
    <r>
      <rPr>
        <vertAlign val="subscript"/>
        <sz val="9"/>
        <color indexed="61"/>
        <rFont val="Arial Narrow"/>
        <family val="2"/>
      </rPr>
      <t>mean</t>
    </r>
    <r>
      <rPr>
        <sz val="9"/>
        <color indexed="61"/>
        <rFont val="Arial Narrow"/>
        <family val="2"/>
      </rPr>
      <t>V</t>
    </r>
    <r>
      <rPr>
        <vertAlign val="subscript"/>
        <sz val="9"/>
        <color indexed="61"/>
        <rFont val="Arial Narrow"/>
        <family val="2"/>
      </rPr>
      <t>Hmean</t>
    </r>
    <r>
      <rPr>
        <sz val="9"/>
        <color indexed="61"/>
        <rFont val="Arial Narrow"/>
        <family val="2"/>
      </rPr>
      <t>/(R</t>
    </r>
    <r>
      <rPr>
        <vertAlign val="subscript"/>
        <sz val="9"/>
        <color indexed="61"/>
        <rFont val="Arial Narrow"/>
        <family val="2"/>
      </rPr>
      <t>S</t>
    </r>
    <r>
      <rPr>
        <sz val="9"/>
        <color indexed="61"/>
        <rFont val="Arial Narrow"/>
        <family val="2"/>
      </rPr>
      <t>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>) ·</t>
    </r>
    <r>
      <rPr>
        <vertAlign val="subscript"/>
        <sz val="9"/>
        <color indexed="61"/>
        <rFont val="Arial Narrow"/>
        <family val="2"/>
      </rPr>
      <t xml:space="preserve"> </t>
    </r>
    <r>
      <rPr>
        <sz val="9"/>
        <color indexed="61"/>
        <rFont val="Arial Narrow"/>
        <family val="2"/>
      </rPr>
      <t xml:space="preserve"> (T</t>
    </r>
    <r>
      <rPr>
        <vertAlign val="subscript"/>
        <sz val="9"/>
        <color indexed="61"/>
        <rFont val="Arial Narrow"/>
        <family val="2"/>
      </rPr>
      <t>H</t>
    </r>
    <r>
      <rPr>
        <sz val="9"/>
        <color indexed="61"/>
        <rFont val="Arial Narrow"/>
        <family val="2"/>
      </rPr>
      <t>-T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 xml:space="preserve">) </t>
    </r>
  </si>
  <si>
    <r>
      <t>.-2 C</t>
    </r>
    <r>
      <rPr>
        <vertAlign val="subscript"/>
        <sz val="9"/>
        <color indexed="61"/>
        <rFont val="Arial Narrow"/>
        <family val="2"/>
      </rPr>
      <t xml:space="preserve">p </t>
    </r>
    <r>
      <rPr>
        <sz val="9"/>
        <color indexed="61"/>
        <rFont val="Arial Narrow"/>
        <family val="2"/>
      </rPr>
      <t>p</t>
    </r>
    <r>
      <rPr>
        <vertAlign val="subscript"/>
        <sz val="9"/>
        <color indexed="61"/>
        <rFont val="Arial Narrow"/>
        <family val="2"/>
      </rPr>
      <t>mean</t>
    </r>
    <r>
      <rPr>
        <sz val="9"/>
        <color indexed="61"/>
        <rFont val="Arial Narrow"/>
        <family val="2"/>
      </rPr>
      <t>V</t>
    </r>
    <r>
      <rPr>
        <vertAlign val="subscript"/>
        <sz val="9"/>
        <color indexed="61"/>
        <rFont val="Arial Narrow"/>
        <family val="2"/>
      </rPr>
      <t>Cmean</t>
    </r>
    <r>
      <rPr>
        <sz val="9"/>
        <color indexed="61"/>
        <rFont val="Arial Narrow"/>
        <family val="2"/>
      </rPr>
      <t>/(R</t>
    </r>
    <r>
      <rPr>
        <vertAlign val="subscript"/>
        <sz val="9"/>
        <color indexed="61"/>
        <rFont val="Arial Narrow"/>
        <family val="2"/>
      </rPr>
      <t>S</t>
    </r>
    <r>
      <rPr>
        <sz val="9"/>
        <color indexed="61"/>
        <rFont val="Arial Narrow"/>
        <family val="2"/>
      </rPr>
      <t>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 xml:space="preserve">) </t>
    </r>
    <r>
      <rPr>
        <vertAlign val="subscript"/>
        <sz val="9"/>
        <color indexed="61"/>
        <rFont val="Arial Narrow"/>
        <family val="2"/>
      </rPr>
      <t xml:space="preserve"> ·</t>
    </r>
    <r>
      <rPr>
        <sz val="9"/>
        <color indexed="61"/>
        <rFont val="Arial Narrow"/>
        <family val="2"/>
      </rPr>
      <t xml:space="preserve"> (T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>-T</t>
    </r>
    <r>
      <rPr>
        <vertAlign val="subscript"/>
        <sz val="9"/>
        <color indexed="61"/>
        <rFont val="Arial Narrow"/>
        <family val="2"/>
      </rPr>
      <t>C</t>
    </r>
    <r>
      <rPr>
        <sz val="9"/>
        <color indexed="61"/>
        <rFont val="Arial Narrow"/>
        <family val="2"/>
      </rPr>
      <t xml:space="preserve">) </t>
    </r>
  </si>
  <si>
    <r>
      <t>Q</t>
    </r>
    <r>
      <rPr>
        <vertAlign val="subscript"/>
        <sz val="9"/>
        <color indexed="61"/>
        <rFont val="Arial Narrow"/>
        <family val="2"/>
      </rPr>
      <t>in</t>
    </r>
    <r>
      <rPr>
        <sz val="9"/>
        <color indexed="61"/>
        <rFont val="Arial Narrow"/>
        <family val="2"/>
      </rPr>
      <t>+ Q</t>
    </r>
    <r>
      <rPr>
        <vertAlign val="subscript"/>
        <sz val="9"/>
        <color indexed="61"/>
        <rFont val="Arial Narrow"/>
        <family val="2"/>
      </rPr>
      <t xml:space="preserve">out </t>
    </r>
    <r>
      <rPr>
        <sz val="9"/>
        <color indexed="61"/>
        <rFont val="Arial Narrow"/>
        <family val="2"/>
      </rPr>
      <t>&gt; W</t>
    </r>
  </si>
  <si>
    <r>
      <t>Q</t>
    </r>
    <r>
      <rPr>
        <vertAlign val="subscript"/>
        <sz val="9"/>
        <color indexed="61"/>
        <rFont val="Arial Narrow"/>
        <family val="2"/>
      </rPr>
      <t>H</t>
    </r>
    <r>
      <rPr>
        <sz val="9"/>
        <color indexed="61"/>
        <rFont val="Arial Narrow"/>
        <family val="2"/>
      </rPr>
      <t xml:space="preserve"> + Q</t>
    </r>
    <r>
      <rPr>
        <vertAlign val="subscript"/>
        <sz val="9"/>
        <color indexed="61"/>
        <rFont val="Arial Narrow"/>
        <family val="2"/>
      </rPr>
      <t xml:space="preserve">C </t>
    </r>
    <r>
      <rPr>
        <sz val="9"/>
        <color indexed="61"/>
        <rFont val="Arial Narrow"/>
        <family val="2"/>
      </rPr>
      <t>&gt; W</t>
    </r>
  </si>
  <si>
    <t>Abgeführte Wärme + geleistete Arbeit</t>
  </si>
  <si>
    <t xml:space="preserve">Carnot-Wirkungsgrad </t>
  </si>
  <si>
    <t>Carnot-Wirkungsgrad des Systems</t>
  </si>
  <si>
    <t xml:space="preserve"> ≥ 0</t>
  </si>
  <si>
    <r>
      <t>V</t>
    </r>
    <r>
      <rPr>
        <vertAlign val="subscript"/>
        <sz val="9"/>
        <rFont val="Arial Narrow"/>
        <family val="2"/>
      </rPr>
      <t>re</t>
    </r>
    <r>
      <rPr>
        <sz val="9"/>
        <rFont val="Arial Narrow"/>
        <family val="2"/>
      </rPr>
      <t>.</t>
    </r>
    <r>
      <rPr>
        <vertAlign val="subscript"/>
        <sz val="9"/>
        <rFont val="Arial Narrow"/>
        <family val="2"/>
      </rPr>
      <t>var</t>
    </r>
    <r>
      <rPr>
        <sz val="9"/>
        <rFont val="Arial Narrow"/>
        <family val="2"/>
      </rPr>
      <t xml:space="preserve"> [m³]</t>
    </r>
  </si>
  <si>
    <r>
      <t>W</t>
    </r>
    <r>
      <rPr>
        <vertAlign val="subscript"/>
        <sz val="9"/>
        <color indexed="17"/>
        <rFont val="Arial Narrow"/>
        <family val="2"/>
      </rPr>
      <t>H/S</t>
    </r>
    <r>
      <rPr>
        <sz val="9"/>
        <color indexed="17"/>
        <rFont val="Arial Narrow"/>
        <family val="2"/>
      </rPr>
      <t xml:space="preserve"> [kgm²/s²]</t>
    </r>
  </si>
  <si>
    <t>Ermittlung des p-V-Diagramms / Diskretisierung</t>
  </si>
  <si>
    <r>
      <t>V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>-V</t>
    </r>
    <r>
      <rPr>
        <vertAlign val="subscript"/>
        <sz val="9"/>
        <rFont val="Arial Narrow"/>
        <family val="2"/>
      </rPr>
      <t>Re</t>
    </r>
  </si>
  <si>
    <r>
      <t>p</t>
    </r>
    <r>
      <rPr>
        <vertAlign val="subscript"/>
        <sz val="8"/>
        <rFont val="Arial Narrow"/>
        <family val="2"/>
      </rPr>
      <t>Re</t>
    </r>
    <r>
      <rPr>
        <sz val="8"/>
        <rFont val="Arial Narrow"/>
        <family val="2"/>
      </rPr>
      <t>/p</t>
    </r>
    <r>
      <rPr>
        <vertAlign val="subscript"/>
        <sz val="8"/>
        <rFont val="Arial Narrow"/>
        <family val="2"/>
      </rPr>
      <t>Remax</t>
    </r>
    <r>
      <rPr>
        <sz val="8"/>
        <rFont val="Arial Narrow"/>
        <family val="2"/>
      </rPr>
      <t xml:space="preserve"> [kg/(ms²]</t>
    </r>
  </si>
  <si>
    <t>[ 1 ]  Koichi Hirata: “SCHMIDT THEORY FOR STIRLING ENGINES”, 1997,  http://www.bekkoame.ne.jp/~khirata/academic/schmidt/schmidt.htm</t>
  </si>
  <si>
    <t>[ 2 ] Frank Schleder: Stirlingmotoren - Termodynamische Grundlagen, Kreisprozessrechnung und Niedertemperaturmotoren, Vogel                             Buchverlag, 2. Auflage 2004, ISBN 3-8023-1990-7</t>
  </si>
  <si>
    <t>Bsp.Schleder [2]</t>
  </si>
  <si>
    <t>Bsp.Hirata [1]</t>
  </si>
  <si>
    <r>
      <t>h</t>
    </r>
    <r>
      <rPr>
        <vertAlign val="subscript"/>
        <sz val="9"/>
        <color indexed="8"/>
        <rFont val="Arial Narrow"/>
        <family val="2"/>
      </rPr>
      <t xml:space="preserve">carnot </t>
    </r>
    <r>
      <rPr>
        <sz val="9"/>
        <color indexed="8"/>
        <rFont val="Arial Narrow"/>
        <family val="2"/>
      </rPr>
      <t>[-]</t>
    </r>
  </si>
  <si>
    <t>Ermittlung der Arbeit für eine Umdrehung nach Schmidt</t>
  </si>
  <si>
    <t>für</t>
  </si>
  <si>
    <t>Darstellung</t>
  </si>
  <si>
    <t>~62.00</t>
  </si>
  <si>
    <t>~143.000</t>
  </si>
  <si>
    <r>
      <t>h</t>
    </r>
    <r>
      <rPr>
        <i/>
        <vertAlign val="subscript"/>
        <sz val="9"/>
        <color indexed="21"/>
        <rFont val="Arial Narrow"/>
        <family val="2"/>
      </rPr>
      <t>carnot</t>
    </r>
    <r>
      <rPr>
        <i/>
        <sz val="9"/>
        <color indexed="21"/>
        <rFont val="Arial Narrow"/>
        <family val="2"/>
      </rPr>
      <t xml:space="preserve"> [-]</t>
    </r>
  </si>
  <si>
    <r>
      <rPr>
        <sz val="9"/>
        <color indexed="60"/>
        <rFont val="Symbol"/>
        <family val="1"/>
      </rPr>
      <t>h</t>
    </r>
    <r>
      <rPr>
        <sz val="9"/>
        <color indexed="60"/>
        <rFont val="Arial Narrow"/>
        <family val="2"/>
      </rPr>
      <t xml:space="preserve"> [-]</t>
    </r>
  </si>
  <si>
    <r>
      <t xml:space="preserve"> (1-T</t>
    </r>
    <r>
      <rPr>
        <vertAlign val="subscript"/>
        <sz val="9"/>
        <color indexed="21"/>
        <rFont val="Arial Narrow"/>
        <family val="2"/>
      </rPr>
      <t>C</t>
    </r>
    <r>
      <rPr>
        <sz val="9"/>
        <color indexed="21"/>
        <rFont val="Arial Narrow"/>
        <family val="2"/>
      </rPr>
      <t>/T</t>
    </r>
    <r>
      <rPr>
        <vertAlign val="subscript"/>
        <sz val="9"/>
        <color indexed="21"/>
        <rFont val="Arial Narrow"/>
        <family val="2"/>
      </rPr>
      <t>H</t>
    </r>
    <r>
      <rPr>
        <sz val="9"/>
        <color indexed="21"/>
        <rFont val="Arial Narrow"/>
        <family val="2"/>
      </rPr>
      <t>)</t>
    </r>
  </si>
  <si>
    <r>
      <rPr>
        <sz val="9"/>
        <color indexed="60"/>
        <rFont val="Symbol"/>
        <family val="1"/>
      </rPr>
      <t>h*</t>
    </r>
    <r>
      <rPr>
        <sz val="9"/>
        <color indexed="60"/>
        <rFont val="Arial Narrow"/>
        <family val="2"/>
      </rPr>
      <t xml:space="preserve"> [-]</t>
    </r>
  </si>
  <si>
    <r>
      <t>falsch:W</t>
    </r>
    <r>
      <rPr>
        <vertAlign val="subscript"/>
        <sz val="9"/>
        <color indexed="17"/>
        <rFont val="Arial Narrow"/>
        <family val="2"/>
      </rPr>
      <t>H</t>
    </r>
    <r>
      <rPr>
        <sz val="9"/>
        <color indexed="17"/>
        <rFont val="Arial Narrow"/>
        <family val="2"/>
      </rPr>
      <t xml:space="preserve"> + W</t>
    </r>
    <r>
      <rPr>
        <vertAlign val="subscript"/>
        <sz val="9"/>
        <color indexed="17"/>
        <rFont val="Arial Narrow"/>
        <family val="2"/>
      </rPr>
      <t>C</t>
    </r>
  </si>
  <si>
    <r>
      <rPr>
        <sz val="9"/>
        <color indexed="17"/>
        <rFont val="Arial Narrow"/>
        <family val="2"/>
      </rPr>
      <t>W</t>
    </r>
    <r>
      <rPr>
        <vertAlign val="subscript"/>
        <sz val="9"/>
        <color indexed="17"/>
        <rFont val="Arial Narrow"/>
        <family val="2"/>
      </rPr>
      <t>S</t>
    </r>
    <r>
      <rPr>
        <sz val="9"/>
        <color indexed="17"/>
        <rFont val="Arial Narrow"/>
        <family val="2"/>
      </rPr>
      <t>/(W</t>
    </r>
    <r>
      <rPr>
        <vertAlign val="subscript"/>
        <sz val="9"/>
        <color indexed="17"/>
        <rFont val="Arial Narrow"/>
        <family val="2"/>
      </rPr>
      <t>H</t>
    </r>
    <r>
      <rPr>
        <sz val="9"/>
        <color indexed="17"/>
        <rFont val="Arial Narrow"/>
        <family val="2"/>
      </rPr>
      <t>-W</t>
    </r>
    <r>
      <rPr>
        <vertAlign val="subscript"/>
        <sz val="9"/>
        <color indexed="17"/>
        <rFont val="Arial Narrow"/>
        <family val="2"/>
      </rPr>
      <t>S</t>
    </r>
    <r>
      <rPr>
        <sz val="9"/>
        <color indexed="17"/>
        <rFont val="Arial Narrow"/>
        <family val="2"/>
      </rPr>
      <t>)</t>
    </r>
  </si>
  <si>
    <r>
      <rPr>
        <sz val="9"/>
        <color indexed="18"/>
        <rFont val="Arial Narrow"/>
        <family val="2"/>
      </rPr>
      <t>W</t>
    </r>
    <r>
      <rPr>
        <vertAlign val="subscript"/>
        <sz val="9"/>
        <color indexed="18"/>
        <rFont val="Arial Narrow"/>
        <family val="2"/>
      </rPr>
      <t>S</t>
    </r>
    <r>
      <rPr>
        <sz val="9"/>
        <color indexed="18"/>
        <rFont val="Arial Narrow"/>
        <family val="2"/>
      </rPr>
      <t>/(W</t>
    </r>
    <r>
      <rPr>
        <vertAlign val="subscript"/>
        <sz val="9"/>
        <color indexed="18"/>
        <rFont val="Arial Narrow"/>
        <family val="2"/>
      </rPr>
      <t>H</t>
    </r>
    <r>
      <rPr>
        <sz val="9"/>
        <color indexed="18"/>
        <rFont val="Arial Narrow"/>
        <family val="2"/>
      </rPr>
      <t>-W</t>
    </r>
    <r>
      <rPr>
        <vertAlign val="subscript"/>
        <sz val="9"/>
        <color indexed="18"/>
        <rFont val="Arial Narrow"/>
        <family val="2"/>
      </rPr>
      <t>S</t>
    </r>
    <r>
      <rPr>
        <sz val="9"/>
        <color indexed="18"/>
        <rFont val="Arial Narrow"/>
        <family val="2"/>
      </rPr>
      <t>)</t>
    </r>
  </si>
  <si>
    <r>
      <t>falsch: W</t>
    </r>
    <r>
      <rPr>
        <vertAlign val="subscript"/>
        <sz val="9"/>
        <color indexed="18"/>
        <rFont val="Arial Narrow"/>
        <family val="2"/>
      </rPr>
      <t>H</t>
    </r>
    <r>
      <rPr>
        <sz val="9"/>
        <color indexed="18"/>
        <rFont val="Arial Narrow"/>
        <family val="2"/>
      </rPr>
      <t xml:space="preserve"> + W</t>
    </r>
    <r>
      <rPr>
        <vertAlign val="subscript"/>
        <sz val="9"/>
        <color indexed="18"/>
        <rFont val="Arial Narrow"/>
        <family val="2"/>
      </rPr>
      <t>C</t>
    </r>
  </si>
  <si>
    <r>
      <t>2 C</t>
    </r>
    <r>
      <rPr>
        <vertAlign val="subscript"/>
        <sz val="9"/>
        <color indexed="61"/>
        <rFont val="Arial Narrow"/>
        <family val="2"/>
      </rPr>
      <t xml:space="preserve">p </t>
    </r>
    <r>
      <rPr>
        <sz val="9"/>
        <color indexed="61"/>
        <rFont val="Arial Narrow"/>
        <family val="2"/>
      </rPr>
      <t>p</t>
    </r>
    <r>
      <rPr>
        <vertAlign val="subscript"/>
        <sz val="9"/>
        <color indexed="61"/>
        <rFont val="Arial Narrow"/>
        <family val="2"/>
      </rPr>
      <t>mean</t>
    </r>
    <r>
      <rPr>
        <sz val="9"/>
        <color indexed="61"/>
        <rFont val="Arial Narrow"/>
        <family val="2"/>
      </rPr>
      <t>V</t>
    </r>
    <r>
      <rPr>
        <vertAlign val="subscript"/>
        <sz val="9"/>
        <color indexed="61"/>
        <rFont val="Arial Narrow"/>
        <family val="2"/>
      </rPr>
      <t>Hmean</t>
    </r>
    <r>
      <rPr>
        <sz val="9"/>
        <color indexed="61"/>
        <rFont val="Arial Narrow"/>
        <family val="2"/>
      </rPr>
      <t>/(R</t>
    </r>
    <r>
      <rPr>
        <vertAlign val="subscript"/>
        <sz val="9"/>
        <color indexed="61"/>
        <rFont val="Arial Narrow"/>
        <family val="2"/>
      </rPr>
      <t>S</t>
    </r>
    <r>
      <rPr>
        <sz val="9"/>
        <color indexed="61"/>
        <rFont val="Arial Narrow"/>
        <family val="2"/>
      </rPr>
      <t>T</t>
    </r>
    <r>
      <rPr>
        <vertAlign val="subscript"/>
        <sz val="9"/>
        <color indexed="61"/>
        <rFont val="Arial Narrow"/>
        <family val="2"/>
      </rPr>
      <t>H</t>
    </r>
    <r>
      <rPr>
        <sz val="9"/>
        <color indexed="61"/>
        <rFont val="Arial Narrow"/>
        <family val="2"/>
      </rPr>
      <t xml:space="preserve">) </t>
    </r>
    <r>
      <rPr>
        <vertAlign val="subscript"/>
        <sz val="9"/>
        <color indexed="61"/>
        <rFont val="Arial Narrow"/>
        <family val="2"/>
      </rPr>
      <t xml:space="preserve"> </t>
    </r>
    <r>
      <rPr>
        <sz val="9"/>
        <color indexed="61"/>
        <rFont val="Arial Narrow"/>
        <family val="2"/>
      </rPr>
      <t xml:space="preserve"> (T</t>
    </r>
    <r>
      <rPr>
        <vertAlign val="subscript"/>
        <sz val="9"/>
        <color indexed="61"/>
        <rFont val="Arial Narrow"/>
        <family val="2"/>
      </rPr>
      <t>H</t>
    </r>
    <r>
      <rPr>
        <sz val="9"/>
        <color indexed="61"/>
        <rFont val="Arial Narrow"/>
        <family val="2"/>
      </rPr>
      <t>-T</t>
    </r>
    <r>
      <rPr>
        <vertAlign val="subscript"/>
        <sz val="9"/>
        <color indexed="61"/>
        <rFont val="Arial Narrow"/>
        <family val="2"/>
      </rPr>
      <t>R</t>
    </r>
    <r>
      <rPr>
        <sz val="9"/>
        <color indexed="61"/>
        <rFont val="Arial Narrow"/>
        <family val="2"/>
      </rPr>
      <t xml:space="preserve">) </t>
    </r>
  </si>
  <si>
    <r>
      <rPr>
        <sz val="9"/>
        <color indexed="17"/>
        <rFont val="Arial Narrow"/>
        <family val="2"/>
      </rPr>
      <t>W</t>
    </r>
    <r>
      <rPr>
        <vertAlign val="subscript"/>
        <sz val="9"/>
        <color indexed="17"/>
        <rFont val="Arial Narrow"/>
        <family val="2"/>
      </rPr>
      <t>H/S</t>
    </r>
    <r>
      <rPr>
        <sz val="9"/>
        <color indexed="17"/>
        <rFont val="Arial Narrow"/>
        <family val="2"/>
      </rPr>
      <t>+W</t>
    </r>
    <r>
      <rPr>
        <vertAlign val="subscript"/>
        <sz val="9"/>
        <color indexed="17"/>
        <rFont val="Arial Narrow"/>
        <family val="2"/>
      </rPr>
      <t>C/S</t>
    </r>
    <r>
      <rPr>
        <sz val="9"/>
        <color indexed="17"/>
        <rFont val="Arial Narrow"/>
        <family val="2"/>
      </rPr>
      <t>=2</t>
    </r>
    <r>
      <rPr>
        <i/>
        <sz val="9"/>
        <color indexed="17"/>
        <rFont val="Symbol"/>
        <family val="1"/>
      </rPr>
      <t>p</t>
    </r>
    <r>
      <rPr>
        <i/>
        <sz val="9"/>
        <color indexed="17"/>
        <rFont val="Arial Narrow"/>
        <family val="2"/>
      </rPr>
      <t>/</t>
    </r>
    <r>
      <rPr>
        <i/>
        <sz val="9"/>
        <color indexed="17"/>
        <rFont val="Symbol"/>
        <family val="1"/>
      </rPr>
      <t>w</t>
    </r>
    <r>
      <rPr>
        <i/>
        <sz val="9"/>
        <color indexed="17"/>
        <rFont val="Arial Narrow"/>
        <family val="2"/>
      </rPr>
      <t xml:space="preserve"> P</t>
    </r>
    <r>
      <rPr>
        <i/>
        <vertAlign val="subscript"/>
        <sz val="9"/>
        <color indexed="17"/>
        <rFont val="Arial Narrow"/>
        <family val="2"/>
      </rPr>
      <t xml:space="preserve">Re </t>
    </r>
  </si>
  <si>
    <r>
      <t>V</t>
    </r>
    <r>
      <rPr>
        <vertAlign val="subscript"/>
        <sz val="9"/>
        <rFont val="Arial Narrow"/>
        <family val="2"/>
      </rPr>
      <t>S</t>
    </r>
    <r>
      <rPr>
        <sz val="9"/>
        <rFont val="Arial Narrow"/>
        <family val="2"/>
      </rPr>
      <t>-V</t>
    </r>
    <r>
      <rPr>
        <vertAlign val="subscript"/>
        <sz val="9"/>
        <rFont val="Arial Narrow"/>
        <family val="2"/>
      </rPr>
      <t>re</t>
    </r>
  </si>
  <si>
    <t>45°</t>
  </si>
  <si>
    <t>135°</t>
  </si>
  <si>
    <t>225°</t>
  </si>
  <si>
    <t>315°</t>
  </si>
  <si>
    <t>mittlere mechanische Leistung mit realen Kolbenweg</t>
  </si>
  <si>
    <t xml:space="preserve">     mittlere mechanische Leistung nach Schmidt</t>
  </si>
  <si>
    <t>mechanische Arbeit im heißen Zylinder</t>
  </si>
  <si>
    <t>mechanische Arbeit im kalten Zylinder</t>
  </si>
  <si>
    <t>mechanische Arbeit aus beiden Zylindern</t>
  </si>
  <si>
    <r>
      <t xml:space="preserve">Schrittweite  </t>
    </r>
    <r>
      <rPr>
        <sz val="9"/>
        <color indexed="16"/>
        <rFont val="Symbol"/>
        <family val="1"/>
      </rPr>
      <t>Dj</t>
    </r>
    <r>
      <rPr>
        <sz val="9"/>
        <color indexed="16"/>
        <rFont val="Arial Narrow"/>
        <family val="2"/>
      </rPr>
      <t xml:space="preserve"> = 1°</t>
    </r>
  </si>
  <si>
    <r>
      <t>h</t>
    </r>
    <r>
      <rPr>
        <i/>
        <vertAlign val="subscript"/>
        <sz val="9"/>
        <color indexed="21"/>
        <rFont val="Arial Narrow"/>
        <family val="2"/>
      </rPr>
      <t>carnot/Re</t>
    </r>
    <r>
      <rPr>
        <i/>
        <sz val="9"/>
        <color indexed="21"/>
        <rFont val="Arial Narrow"/>
        <family val="2"/>
      </rPr>
      <t xml:space="preserve"> [-]</t>
    </r>
  </si>
  <si>
    <t>siehe Tab. Calc: Näherungdlösung / approximation</t>
  </si>
  <si>
    <r>
      <t xml:space="preserve"> r</t>
    </r>
    <r>
      <rPr>
        <vertAlign val="subscript"/>
        <sz val="9"/>
        <rFont val="Arial Narrow"/>
        <family val="2"/>
      </rPr>
      <t xml:space="preserve">C </t>
    </r>
    <r>
      <rPr>
        <sz val="9"/>
        <rFont val="Symbol"/>
        <family val="1"/>
      </rPr>
      <t xml:space="preserve">p </t>
    </r>
    <r>
      <rPr>
        <sz val="9"/>
        <rFont val="Arial Narrow"/>
        <family val="2"/>
      </rPr>
      <t>d</t>
    </r>
    <r>
      <rPr>
        <vertAlign val="subscript"/>
        <sz val="9"/>
        <rFont val="Arial Narrow"/>
        <family val="2"/>
      </rPr>
      <t xml:space="preserve">C 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 xml:space="preserve">/4 </t>
    </r>
  </si>
  <si>
    <t xml:space="preserve">Totraum der kalten Seite                    </t>
  </si>
  <si>
    <r>
      <t xml:space="preserve">Schrittweite </t>
    </r>
    <r>
      <rPr>
        <sz val="9"/>
        <color indexed="16"/>
        <rFont val="Symbol"/>
        <family val="1"/>
      </rPr>
      <t>Dj</t>
    </r>
    <r>
      <rPr>
        <sz val="9"/>
        <color indexed="16"/>
        <rFont val="Arial Narrow"/>
        <family val="2"/>
      </rPr>
      <t>= 1°</t>
    </r>
  </si>
  <si>
    <r>
      <t>W</t>
    </r>
    <r>
      <rPr>
        <vertAlign val="subscript"/>
        <sz val="8"/>
        <color indexed="53"/>
        <rFont val="Arial Narrow"/>
        <family val="2"/>
      </rPr>
      <t>HRe</t>
    </r>
    <r>
      <rPr>
        <sz val="8"/>
        <color indexed="53"/>
        <rFont val="Arial Narrow"/>
        <family val="2"/>
      </rPr>
      <t xml:space="preserve"> [W=kgm²/s³]</t>
    </r>
  </si>
  <si>
    <r>
      <t>W</t>
    </r>
    <r>
      <rPr>
        <vertAlign val="subscript"/>
        <sz val="8"/>
        <color indexed="53"/>
        <rFont val="Arial Narrow"/>
        <family val="2"/>
      </rPr>
      <t>CRe</t>
    </r>
    <r>
      <rPr>
        <sz val="8"/>
        <color indexed="53"/>
        <rFont val="Arial Narrow"/>
        <family val="2"/>
      </rPr>
      <t xml:space="preserve"> [W=kgm²/s³]</t>
    </r>
  </si>
  <si>
    <r>
      <t>W</t>
    </r>
    <r>
      <rPr>
        <vertAlign val="subscript"/>
        <sz val="8"/>
        <color indexed="53"/>
        <rFont val="Arial Narrow"/>
        <family val="2"/>
      </rPr>
      <t>HRe</t>
    </r>
    <r>
      <rPr>
        <sz val="8"/>
        <color indexed="53"/>
        <rFont val="Arial Narrow"/>
        <family val="2"/>
      </rPr>
      <t xml:space="preserve"> -W</t>
    </r>
    <r>
      <rPr>
        <vertAlign val="subscript"/>
        <sz val="8"/>
        <color indexed="53"/>
        <rFont val="Arial Narrow"/>
        <family val="2"/>
      </rPr>
      <t>RE</t>
    </r>
  </si>
  <si>
    <r>
      <t>2</t>
    </r>
    <r>
      <rPr>
        <i/>
        <sz val="9"/>
        <color indexed="16"/>
        <rFont val="Symbol"/>
        <family val="1"/>
      </rPr>
      <t>p</t>
    </r>
    <r>
      <rPr>
        <i/>
        <sz val="9"/>
        <color indexed="16"/>
        <rFont val="Arial Narrow"/>
        <family val="2"/>
      </rPr>
      <t>/</t>
    </r>
    <r>
      <rPr>
        <i/>
        <sz val="9"/>
        <color indexed="16"/>
        <rFont val="Symbol"/>
        <family val="1"/>
      </rPr>
      <t>w</t>
    </r>
    <r>
      <rPr>
        <i/>
        <sz val="9"/>
        <color indexed="16"/>
        <rFont val="Arial Narrow"/>
        <family val="2"/>
      </rPr>
      <t xml:space="preserve"> P</t>
    </r>
    <r>
      <rPr>
        <i/>
        <vertAlign val="subscript"/>
        <sz val="9"/>
        <color indexed="16"/>
        <rFont val="Arial Narrow"/>
        <family val="2"/>
      </rPr>
      <t xml:space="preserve">Re </t>
    </r>
  </si>
  <si>
    <r>
      <t>W</t>
    </r>
    <r>
      <rPr>
        <vertAlign val="subscript"/>
        <sz val="8"/>
        <color indexed="53"/>
        <rFont val="Arial Narrow"/>
        <family val="2"/>
      </rPr>
      <t xml:space="preserve">Re </t>
    </r>
    <r>
      <rPr>
        <sz val="8"/>
        <color indexed="53"/>
        <rFont val="Arial Narrow"/>
        <family val="2"/>
      </rPr>
      <t xml:space="preserve">/ </t>
    </r>
    <r>
      <rPr>
        <sz val="8"/>
        <color indexed="53"/>
        <rFont val="Symbol"/>
        <family val="1"/>
      </rPr>
      <t>h</t>
    </r>
    <r>
      <rPr>
        <sz val="8"/>
        <color indexed="53"/>
        <rFont val="Arial Narrow"/>
        <family val="2"/>
      </rPr>
      <t xml:space="preserve"> </t>
    </r>
    <r>
      <rPr>
        <vertAlign val="subscript"/>
        <sz val="8"/>
        <color indexed="53"/>
        <rFont val="Arial Narrow"/>
        <family val="2"/>
      </rPr>
      <t xml:space="preserve">carnot </t>
    </r>
    <r>
      <rPr>
        <sz val="8"/>
        <color indexed="53"/>
        <rFont val="Arial Narrow"/>
        <family val="2"/>
      </rPr>
      <t>= W</t>
    </r>
    <r>
      <rPr>
        <vertAlign val="subscript"/>
        <sz val="8"/>
        <color indexed="53"/>
        <rFont val="Arial Narrow"/>
        <family val="2"/>
      </rPr>
      <t>Re</t>
    </r>
    <r>
      <rPr>
        <sz val="8"/>
        <color indexed="53"/>
        <rFont val="Arial Narrow"/>
        <family val="2"/>
      </rPr>
      <t>/(1-T</t>
    </r>
    <r>
      <rPr>
        <vertAlign val="subscript"/>
        <sz val="8"/>
        <color indexed="53"/>
        <rFont val="Arial Narrow"/>
        <family val="2"/>
      </rPr>
      <t>C</t>
    </r>
    <r>
      <rPr>
        <sz val="8"/>
        <color indexed="53"/>
        <rFont val="Arial Narrow"/>
        <family val="2"/>
      </rPr>
      <t>/T</t>
    </r>
    <r>
      <rPr>
        <vertAlign val="subscript"/>
        <sz val="8"/>
        <color indexed="53"/>
        <rFont val="Arial Narrow"/>
        <family val="2"/>
      </rPr>
      <t>H</t>
    </r>
    <r>
      <rPr>
        <sz val="8"/>
        <color indexed="53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</si>
</sst>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E+00"/>
    <numFmt numFmtId="170" formatCode="0.0000E+00"/>
    <numFmt numFmtId="171" formatCode="0.00\°"/>
    <numFmt numFmtId="172" formatCode="0.0\°"/>
    <numFmt numFmtId="173" formatCode="0.000\°"/>
    <numFmt numFmtId="174" formatCode="0.0%"/>
    <numFmt numFmtId="175" formatCode="#,##0.0"/>
    <numFmt numFmtId="176" formatCode="#,##0.0000"/>
    <numFmt numFmtId="177" formatCode="&quot;VReMax = &quot;#,##0.000&quot; cm³&quot;"/>
    <numFmt numFmtId="178" formatCode="&quot;pReMax = &quot;#,##0&quot; kPa  .&quot;"/>
    <numFmt numFmtId="179" formatCode="&quot; PRe      = &quot;#,##0.000&quot; W   .&quot;"/>
    <numFmt numFmtId="180" formatCode="&quot;h            = &quot;0.0000&quot;   .&quot;"/>
    <numFmt numFmtId="181" formatCode="0.0000000"/>
    <numFmt numFmtId="182" formatCode="0.00000000"/>
    <numFmt numFmtId="183" formatCode="&quot;h            = &quot;0.0000&quot;  .&quot;"/>
    <numFmt numFmtId="184" formatCode="&quot;h           = &quot;0.0000&quot;  .&quot;"/>
    <numFmt numFmtId="185" formatCode="#,##0.000"/>
    <numFmt numFmtId="186" formatCode="0.0E+00"/>
    <numFmt numFmtId="187" formatCode="&quot;tr = &quot;0"/>
    <numFmt numFmtId="188" formatCode="&quot;tR = &quot;0"/>
    <numFmt numFmtId="189" formatCode="&quot;TR = &quot;0"/>
    <numFmt numFmtId="190" formatCode="General\°"/>
    <numFmt numFmtId="191" formatCode="#,##0.000\°"/>
    <numFmt numFmtId="192" formatCode="#,##0.0000\°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0.00\°"/>
    <numFmt numFmtId="198" formatCode="0.00000E+00"/>
    <numFmt numFmtId="199" formatCode="0.000000E+00"/>
    <numFmt numFmtId="200" formatCode="0.0000000E+00"/>
    <numFmt numFmtId="201" formatCode="0.0000\°"/>
    <numFmt numFmtId="202" formatCode="&quot;VRe.max = &quot;#,##0.000&quot; cm³&quot;"/>
    <numFmt numFmtId="203" formatCode="&quot;pRe.max = &quot;#,##0&quot; kPa  .&quot;"/>
    <numFmt numFmtId="204" formatCode="&quot;h        = &quot;0.0000&quot;  .&quot;"/>
    <numFmt numFmtId="205" formatCode="&quot;pmean/pmax = &quot;0.000"/>
    <numFmt numFmtId="206" formatCode="&quot;VRe.max=&quot;#,##0.00&quot;cm³&quot;"/>
    <numFmt numFmtId="207" formatCode="&quot;VRemax=&quot;#,##0.00&quot;cm³&quot;"/>
    <numFmt numFmtId="208" formatCode="&quot;VRemax=&quot;#,##0.000&quot;cm³&quot;"/>
    <numFmt numFmtId="209" formatCode="0.000000000"/>
    <numFmt numFmtId="210" formatCode="0.0000000000"/>
    <numFmt numFmtId="211" formatCode="&quot;VRe.max=&quot;#,##0.000&quot;cm³&quot;"/>
    <numFmt numFmtId="212" formatCode="#,##0.00000"/>
    <numFmt numFmtId="213" formatCode="#,##0.000000"/>
    <numFmt numFmtId="214" formatCode="#,##0.0000000"/>
    <numFmt numFmtId="215" formatCode="#,##0.00000000"/>
    <numFmt numFmtId="216" formatCode="0.0000\ &quot;%&quot;"/>
    <numFmt numFmtId="217" formatCode="0.00000&quot; [Nm]&quot;"/>
    <numFmt numFmtId="218" formatCode="0.00000000000"/>
    <numFmt numFmtId="219" formatCode="0.000000000000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0.0000&quot; [Nm]&quot;"/>
    <numFmt numFmtId="223" formatCode="0.000&quot; [Nm]&quot;"/>
  </numFmts>
  <fonts count="18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vertAlign val="subscript"/>
      <sz val="9"/>
      <name val="Arial Narrow"/>
      <family val="2"/>
    </font>
    <font>
      <sz val="9"/>
      <name val="Symbol"/>
      <family val="1"/>
    </font>
    <font>
      <b/>
      <sz val="11"/>
      <name val="Symbol"/>
      <family val="1"/>
    </font>
    <font>
      <b/>
      <sz val="11"/>
      <color indexed="62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sz val="9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 Narrow"/>
      <family val="2"/>
    </font>
    <font>
      <vertAlign val="subscript"/>
      <sz val="10"/>
      <name val="Arial Narrow"/>
      <family val="2"/>
    </font>
    <font>
      <sz val="9"/>
      <color indexed="10"/>
      <name val="Arial Narrow"/>
      <family val="2"/>
    </font>
    <font>
      <sz val="14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vertAlign val="subscript"/>
      <sz val="8"/>
      <name val="Arial Narrow"/>
      <family val="2"/>
    </font>
    <font>
      <sz val="9"/>
      <color indexed="8"/>
      <name val="Arial Narrow"/>
      <family val="2"/>
    </font>
    <font>
      <sz val="9"/>
      <color indexed="17"/>
      <name val="Arial Narrow"/>
      <family val="2"/>
    </font>
    <font>
      <sz val="9"/>
      <color indexed="18"/>
      <name val="Arial Narrow"/>
      <family val="2"/>
    </font>
    <font>
      <sz val="8"/>
      <color indexed="17"/>
      <name val="Arial Narrow"/>
      <family val="2"/>
    </font>
    <font>
      <vertAlign val="subscript"/>
      <sz val="9"/>
      <color indexed="17"/>
      <name val="Arial Narrow"/>
      <family val="2"/>
    </font>
    <font>
      <sz val="10"/>
      <color indexed="17"/>
      <name val="Arial"/>
      <family val="2"/>
    </font>
    <font>
      <sz val="8"/>
      <color indexed="18"/>
      <name val="Arial Narrow"/>
      <family val="2"/>
    </font>
    <font>
      <sz val="6"/>
      <name val="Symbol"/>
      <family val="1"/>
    </font>
    <font>
      <vertAlign val="subscript"/>
      <sz val="8"/>
      <color indexed="17"/>
      <name val="Arial Narrow"/>
      <family val="2"/>
    </font>
    <font>
      <i/>
      <sz val="9"/>
      <color indexed="10"/>
      <name val="Arial Narrow"/>
      <family val="2"/>
    </font>
    <font>
      <b/>
      <i/>
      <sz val="9"/>
      <color indexed="17"/>
      <name val="Arial Narrow"/>
      <family val="2"/>
    </font>
    <font>
      <b/>
      <sz val="11"/>
      <color indexed="16"/>
      <name val="Arial Narrow"/>
      <family val="2"/>
    </font>
    <font>
      <b/>
      <sz val="11"/>
      <color indexed="18"/>
      <name val="Arial Narrow"/>
      <family val="2"/>
    </font>
    <font>
      <sz val="10"/>
      <color indexed="18"/>
      <name val="Arial"/>
      <family val="2"/>
    </font>
    <font>
      <sz val="9"/>
      <color indexed="61"/>
      <name val="Arial Narrow"/>
      <family val="2"/>
    </font>
    <font>
      <vertAlign val="subscript"/>
      <sz val="9"/>
      <color indexed="61"/>
      <name val="Arial Narrow"/>
      <family val="2"/>
    </font>
    <font>
      <sz val="9"/>
      <color indexed="61"/>
      <name val="Symbol"/>
      <family val="1"/>
    </font>
    <font>
      <b/>
      <sz val="9"/>
      <color indexed="16"/>
      <name val="Arial Narrow"/>
      <family val="2"/>
    </font>
    <font>
      <sz val="7"/>
      <name val="Arial Narrow"/>
      <family val="2"/>
    </font>
    <font>
      <sz val="9"/>
      <color indexed="16"/>
      <name val="Arial Narrow"/>
      <family val="2"/>
    </font>
    <font>
      <i/>
      <sz val="8"/>
      <color indexed="16"/>
      <name val="Arial Narrow"/>
      <family val="2"/>
    </font>
    <font>
      <sz val="10"/>
      <color indexed="16"/>
      <name val="Arial"/>
      <family val="2"/>
    </font>
    <font>
      <vertAlign val="subscript"/>
      <sz val="9"/>
      <color indexed="16"/>
      <name val="Arial Narrow"/>
      <family val="2"/>
    </font>
    <font>
      <sz val="8"/>
      <color indexed="16"/>
      <name val="Arial Narrow"/>
      <family val="2"/>
    </font>
    <font>
      <vertAlign val="subscript"/>
      <sz val="8"/>
      <color indexed="16"/>
      <name val="Arial Narrow"/>
      <family val="2"/>
    </font>
    <font>
      <i/>
      <sz val="9"/>
      <color indexed="16"/>
      <name val="Symbol"/>
      <family val="1"/>
    </font>
    <font>
      <i/>
      <vertAlign val="subscript"/>
      <sz val="9"/>
      <color indexed="16"/>
      <name val="Arial Narrow"/>
      <family val="2"/>
    </font>
    <font>
      <i/>
      <sz val="9"/>
      <color indexed="16"/>
      <name val="Arial Narrow"/>
      <family val="2"/>
    </font>
    <font>
      <b/>
      <sz val="9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color indexed="9"/>
      <name val="Arial"/>
      <family val="2"/>
    </font>
    <font>
      <sz val="9"/>
      <color indexed="17"/>
      <name val="Symbol"/>
      <family val="1"/>
    </font>
    <font>
      <sz val="9"/>
      <color indexed="16"/>
      <name val="Symbol"/>
      <family val="1"/>
    </font>
    <font>
      <b/>
      <sz val="8"/>
      <name val="Arial Narrow"/>
      <family val="2"/>
    </font>
    <font>
      <vertAlign val="superscript"/>
      <sz val="9"/>
      <color indexed="17"/>
      <name val="Arial Narrow"/>
      <family val="2"/>
    </font>
    <font>
      <b/>
      <sz val="9"/>
      <color indexed="16"/>
      <name val="Symbol"/>
      <family val="1"/>
    </font>
    <font>
      <b/>
      <sz val="7.5"/>
      <name val="Arial Narrow"/>
      <family val="2"/>
    </font>
    <font>
      <b/>
      <sz val="9"/>
      <color indexed="58"/>
      <name val="Arial Narrow"/>
      <family val="2"/>
    </font>
    <font>
      <sz val="9"/>
      <color indexed="58"/>
      <name val="Arial Narrow"/>
      <family val="2"/>
    </font>
    <font>
      <vertAlign val="subscript"/>
      <sz val="9"/>
      <color indexed="58"/>
      <name val="Arial Narrow"/>
      <family val="2"/>
    </font>
    <font>
      <sz val="10"/>
      <color indexed="58"/>
      <name val="Arial"/>
      <family val="2"/>
    </font>
    <font>
      <i/>
      <sz val="8"/>
      <color indexed="58"/>
      <name val="Arial Narrow"/>
      <family val="2"/>
    </font>
    <font>
      <sz val="8"/>
      <color indexed="58"/>
      <name val="Arial Narrow"/>
      <family val="2"/>
    </font>
    <font>
      <vertAlign val="subscript"/>
      <sz val="8"/>
      <color indexed="58"/>
      <name val="Arial Narrow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Symbol"/>
      <family val="1"/>
    </font>
    <font>
      <b/>
      <sz val="8"/>
      <color indexed="16"/>
      <name val="Arial Narrow"/>
      <family val="2"/>
    </font>
    <font>
      <sz val="9"/>
      <name val="Arial Unicode MS"/>
      <family val="2"/>
    </font>
    <font>
      <sz val="8"/>
      <color indexed="55"/>
      <name val="Arial"/>
      <family val="2"/>
    </font>
    <font>
      <b/>
      <sz val="10"/>
      <color indexed="61"/>
      <name val="Arial Narrow"/>
      <family val="2"/>
    </font>
    <font>
      <b/>
      <sz val="10"/>
      <color indexed="18"/>
      <name val="Arial Narrow"/>
      <family val="2"/>
    </font>
    <font>
      <vertAlign val="subscript"/>
      <sz val="9"/>
      <color indexed="18"/>
      <name val="Arial Narrow"/>
      <family val="2"/>
    </font>
    <font>
      <sz val="9"/>
      <color indexed="18"/>
      <name val="Symbol"/>
      <family val="1"/>
    </font>
    <font>
      <vertAlign val="superscript"/>
      <sz val="9"/>
      <color indexed="18"/>
      <name val="Arial Narrow"/>
      <family val="2"/>
    </font>
    <font>
      <sz val="7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9"/>
      <color indexed="1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8"/>
      <name val="Tahoma"/>
      <family val="2"/>
    </font>
    <font>
      <strike/>
      <sz val="9"/>
      <name val="Arial Narrow"/>
      <family val="2"/>
    </font>
    <font>
      <vertAlign val="subscript"/>
      <sz val="9"/>
      <color indexed="8"/>
      <name val="Arial Narrow"/>
      <family val="2"/>
    </font>
    <font>
      <sz val="9"/>
      <color indexed="60"/>
      <name val="Arial Narrow"/>
      <family val="2"/>
    </font>
    <font>
      <i/>
      <sz val="9"/>
      <color indexed="21"/>
      <name val="Arial Narrow"/>
      <family val="2"/>
    </font>
    <font>
      <i/>
      <vertAlign val="subscript"/>
      <sz val="9"/>
      <color indexed="21"/>
      <name val="Arial Narrow"/>
      <family val="2"/>
    </font>
    <font>
      <sz val="9"/>
      <color indexed="21"/>
      <name val="Arial Narrow"/>
      <family val="2"/>
    </font>
    <font>
      <vertAlign val="subscript"/>
      <sz val="9"/>
      <color indexed="21"/>
      <name val="Arial Narrow"/>
      <family val="2"/>
    </font>
    <font>
      <sz val="9"/>
      <color indexed="60"/>
      <name val="Symbol"/>
      <family val="1"/>
    </font>
    <font>
      <strike/>
      <sz val="9"/>
      <color indexed="18"/>
      <name val="Arial Narrow"/>
      <family val="2"/>
    </font>
    <font>
      <i/>
      <sz val="9"/>
      <color indexed="17"/>
      <name val="Arial Narrow"/>
      <family val="2"/>
    </font>
    <font>
      <i/>
      <sz val="9"/>
      <color indexed="17"/>
      <name val="Symbol"/>
      <family val="1"/>
    </font>
    <font>
      <i/>
      <vertAlign val="subscript"/>
      <sz val="9"/>
      <color indexed="17"/>
      <name val="Arial Narrow"/>
      <family val="2"/>
    </font>
    <font>
      <sz val="8"/>
      <color indexed="53"/>
      <name val="Arial Narrow"/>
      <family val="2"/>
    </font>
    <font>
      <vertAlign val="subscript"/>
      <sz val="8"/>
      <color indexed="53"/>
      <name val="Arial Narrow"/>
      <family val="2"/>
    </font>
    <font>
      <sz val="8"/>
      <color indexed="53"/>
      <name val="Symbol"/>
      <family val="1"/>
    </font>
    <font>
      <sz val="9.5"/>
      <color indexed="8"/>
      <name val="Arial"/>
      <family val="0"/>
    </font>
    <font>
      <sz val="8"/>
      <color indexed="8"/>
      <name val="Arial Narrow"/>
      <family val="0"/>
    </font>
    <font>
      <sz val="8"/>
      <color indexed="10"/>
      <name val="Arial Narrow"/>
      <family val="0"/>
    </font>
    <font>
      <sz val="10"/>
      <color indexed="8"/>
      <name val="Arial Narrow"/>
      <family val="0"/>
    </font>
    <font>
      <sz val="10"/>
      <color indexed="10"/>
      <name val="Arial Narrow"/>
      <family val="0"/>
    </font>
    <font>
      <sz val="9.75"/>
      <color indexed="8"/>
      <name val="Symbol"/>
      <family val="0"/>
    </font>
    <font>
      <sz val="6.75"/>
      <color indexed="8"/>
      <name val="Arial Unicode MS"/>
      <family val="0"/>
    </font>
    <font>
      <sz val="6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 Narrow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b/>
      <sz val="8"/>
      <color indexed="60"/>
      <name val="Arial"/>
      <family val="2"/>
    </font>
    <font>
      <sz val="9"/>
      <color indexed="8"/>
      <name val="Symbol"/>
      <family val="1"/>
    </font>
    <font>
      <b/>
      <sz val="10"/>
      <color indexed="10"/>
      <name val="Arial"/>
      <family val="2"/>
    </font>
    <font>
      <sz val="7"/>
      <color indexed="8"/>
      <name val="Arial Narrow"/>
      <family val="2"/>
    </font>
    <font>
      <i/>
      <sz val="9"/>
      <color indexed="21"/>
      <name val="Symbol"/>
      <family val="1"/>
    </font>
    <font>
      <b/>
      <strike/>
      <sz val="9"/>
      <color indexed="60"/>
      <name val="Arial Narrow"/>
      <family val="2"/>
    </font>
    <font>
      <b/>
      <sz val="9"/>
      <color indexed="60"/>
      <name val="Arial Narrow"/>
      <family val="2"/>
    </font>
    <font>
      <strike/>
      <sz val="9"/>
      <color indexed="23"/>
      <name val="Arial Narrow"/>
      <family val="2"/>
    </font>
    <font>
      <sz val="9"/>
      <color indexed="60"/>
      <name val="Arial"/>
      <family val="2"/>
    </font>
    <font>
      <b/>
      <sz val="10.5"/>
      <color indexed="8"/>
      <name val="Arial"/>
      <family val="0"/>
    </font>
    <font>
      <b/>
      <vertAlign val="subscript"/>
      <sz val="10.5"/>
      <color indexed="8"/>
      <name val="Arial"/>
      <family val="0"/>
    </font>
    <font>
      <b/>
      <sz val="11.5"/>
      <color indexed="8"/>
      <name val="Arial"/>
      <family val="0"/>
    </font>
    <font>
      <b/>
      <vertAlign val="subscript"/>
      <sz val="11.5"/>
      <color indexed="8"/>
      <name val="Arial"/>
      <family val="0"/>
    </font>
    <font>
      <b/>
      <sz val="11"/>
      <color indexed="60"/>
      <name val="Calibri"/>
      <family val="0"/>
    </font>
    <font>
      <sz val="54"/>
      <color indexed="60"/>
      <name val="Calibri"/>
      <family val="0"/>
    </font>
    <font>
      <b/>
      <sz val="11"/>
      <color indexed="8"/>
      <name val="Calibri"/>
      <family val="0"/>
    </font>
    <font>
      <b/>
      <sz val="10.75"/>
      <color indexed="8"/>
      <name val="Arial"/>
      <family val="0"/>
    </font>
    <font>
      <b/>
      <sz val="10.75"/>
      <color indexed="8"/>
      <name val="Symbol"/>
      <family val="0"/>
    </font>
    <font>
      <b/>
      <sz val="54"/>
      <color indexed="22"/>
      <name val="Calibri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5" tint="-0.4999699890613556"/>
      <name val="Arial Narrow"/>
      <family val="2"/>
    </font>
    <font>
      <b/>
      <sz val="8"/>
      <color rgb="FFC00000"/>
      <name val="Arial"/>
      <family val="2"/>
    </font>
    <font>
      <sz val="9"/>
      <color theme="3" tint="-0.24997000396251678"/>
      <name val="Arial Narrow"/>
      <family val="2"/>
    </font>
    <font>
      <sz val="9"/>
      <color theme="9" tint="-0.4999699890613556"/>
      <name val="Arial Narrow"/>
      <family val="2"/>
    </font>
    <font>
      <sz val="9"/>
      <color rgb="FFC00000"/>
      <name val="Arial Narrow"/>
      <family val="2"/>
    </font>
    <font>
      <sz val="9"/>
      <color theme="1"/>
      <name val="Symbol"/>
      <family val="1"/>
    </font>
    <font>
      <b/>
      <sz val="10"/>
      <color rgb="FFFF0000"/>
      <name val="Arial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7"/>
      <color rgb="FF000000"/>
      <name val="Arial Narrow"/>
      <family val="2"/>
    </font>
    <font>
      <i/>
      <sz val="9"/>
      <color theme="8" tint="-0.4999699890613556"/>
      <name val="Arial Narrow"/>
      <family val="2"/>
    </font>
    <font>
      <i/>
      <sz val="9"/>
      <color theme="8" tint="-0.4999699890613556"/>
      <name val="Symbol"/>
      <family val="1"/>
    </font>
    <font>
      <sz val="9"/>
      <color theme="8" tint="-0.4999699890613556"/>
      <name val="Arial Narrow"/>
      <family val="2"/>
    </font>
    <font>
      <b/>
      <strike/>
      <sz val="9"/>
      <color rgb="FFC00000"/>
      <name val="Arial Narrow"/>
      <family val="2"/>
    </font>
    <font>
      <i/>
      <sz val="9"/>
      <color rgb="FF00B050"/>
      <name val="Arial Narrow"/>
      <family val="2"/>
    </font>
    <font>
      <b/>
      <sz val="9"/>
      <color rgb="FFC00000"/>
      <name val="Arial Narrow"/>
      <family val="2"/>
    </font>
    <font>
      <strike/>
      <sz val="9"/>
      <color theme="0" tint="-0.4999699890613556"/>
      <name val="Arial Narrow"/>
      <family val="2"/>
    </font>
    <font>
      <sz val="9"/>
      <color theme="9" tint="-0.4999699890613556"/>
      <name val="Arial"/>
      <family val="2"/>
    </font>
    <font>
      <sz val="8"/>
      <color theme="9" tint="-0.24997000396251678"/>
      <name val="Arial Narrow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6" fillId="2" borderId="0" applyNumberFormat="0" applyBorder="0" applyAlignment="0" applyProtection="0"/>
    <xf numFmtId="0" fontId="146" fillId="3" borderId="0" applyNumberFormat="0" applyBorder="0" applyAlignment="0" applyProtection="0"/>
    <xf numFmtId="0" fontId="146" fillId="4" borderId="0" applyNumberFormat="0" applyBorder="0" applyAlignment="0" applyProtection="0"/>
    <xf numFmtId="0" fontId="146" fillId="5" borderId="0" applyNumberFormat="0" applyBorder="0" applyAlignment="0" applyProtection="0"/>
    <xf numFmtId="0" fontId="146" fillId="6" borderId="0" applyNumberFormat="0" applyBorder="0" applyAlignment="0" applyProtection="0"/>
    <xf numFmtId="0" fontId="146" fillId="7" borderId="0" applyNumberFormat="0" applyBorder="0" applyAlignment="0" applyProtection="0"/>
    <xf numFmtId="0" fontId="146" fillId="8" borderId="0" applyNumberFormat="0" applyBorder="0" applyAlignment="0" applyProtection="0"/>
    <xf numFmtId="0" fontId="146" fillId="9" borderId="0" applyNumberFormat="0" applyBorder="0" applyAlignment="0" applyProtection="0"/>
    <xf numFmtId="0" fontId="146" fillId="10" borderId="0" applyNumberFormat="0" applyBorder="0" applyAlignment="0" applyProtection="0"/>
    <xf numFmtId="0" fontId="146" fillId="11" borderId="0" applyNumberFormat="0" applyBorder="0" applyAlignment="0" applyProtection="0"/>
    <xf numFmtId="0" fontId="146" fillId="12" borderId="0" applyNumberFormat="0" applyBorder="0" applyAlignment="0" applyProtection="0"/>
    <xf numFmtId="0" fontId="146" fillId="13" borderId="0" applyNumberFormat="0" applyBorder="0" applyAlignment="0" applyProtection="0"/>
    <xf numFmtId="0" fontId="147" fillId="14" borderId="0" applyNumberFormat="0" applyBorder="0" applyAlignment="0" applyProtection="0"/>
    <xf numFmtId="0" fontId="147" fillId="15" borderId="0" applyNumberFormat="0" applyBorder="0" applyAlignment="0" applyProtection="0"/>
    <xf numFmtId="0" fontId="147" fillId="16" borderId="0" applyNumberFormat="0" applyBorder="0" applyAlignment="0" applyProtection="0"/>
    <xf numFmtId="0" fontId="147" fillId="17" borderId="0" applyNumberFormat="0" applyBorder="0" applyAlignment="0" applyProtection="0"/>
    <xf numFmtId="0" fontId="147" fillId="18" borderId="0" applyNumberFormat="0" applyBorder="0" applyAlignment="0" applyProtection="0"/>
    <xf numFmtId="0" fontId="147" fillId="19" borderId="0" applyNumberFormat="0" applyBorder="0" applyAlignment="0" applyProtection="0"/>
    <xf numFmtId="0" fontId="147" fillId="20" borderId="0" applyNumberFormat="0" applyBorder="0" applyAlignment="0" applyProtection="0"/>
    <xf numFmtId="0" fontId="147" fillId="21" borderId="0" applyNumberFormat="0" applyBorder="0" applyAlignment="0" applyProtection="0"/>
    <xf numFmtId="0" fontId="147" fillId="22" borderId="0" applyNumberFormat="0" applyBorder="0" applyAlignment="0" applyProtection="0"/>
    <xf numFmtId="0" fontId="147" fillId="23" borderId="0" applyNumberFormat="0" applyBorder="0" applyAlignment="0" applyProtection="0"/>
    <xf numFmtId="0" fontId="147" fillId="24" borderId="0" applyNumberFormat="0" applyBorder="0" applyAlignment="0" applyProtection="0"/>
    <xf numFmtId="0" fontId="147" fillId="25" borderId="0" applyNumberFormat="0" applyBorder="0" applyAlignment="0" applyProtection="0"/>
    <xf numFmtId="0" fontId="148" fillId="26" borderId="1" applyNumberFormat="0" applyAlignment="0" applyProtection="0"/>
    <xf numFmtId="0" fontId="149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0" fillId="27" borderId="2" applyNumberFormat="0" applyAlignment="0" applyProtection="0"/>
    <xf numFmtId="0" fontId="151" fillId="0" borderId="3" applyNumberFormat="0" applyFill="0" applyAlignment="0" applyProtection="0"/>
    <xf numFmtId="0" fontId="152" fillId="0" borderId="0" applyNumberFormat="0" applyFill="0" applyBorder="0" applyAlignment="0" applyProtection="0"/>
    <xf numFmtId="0" fontId="153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55" fillId="31" borderId="0" applyNumberFormat="0" applyBorder="0" applyAlignment="0" applyProtection="0"/>
    <xf numFmtId="0" fontId="156" fillId="0" borderId="0" applyNumberFormat="0" applyFill="0" applyBorder="0" applyAlignment="0" applyProtection="0"/>
    <xf numFmtId="0" fontId="157" fillId="0" borderId="5" applyNumberFormat="0" applyFill="0" applyAlignment="0" applyProtection="0"/>
    <xf numFmtId="0" fontId="158" fillId="0" borderId="6" applyNumberFormat="0" applyFill="0" applyAlignment="0" applyProtection="0"/>
    <xf numFmtId="0" fontId="159" fillId="0" borderId="7" applyNumberFormat="0" applyFill="0" applyAlignment="0" applyProtection="0"/>
    <xf numFmtId="0" fontId="159" fillId="0" borderId="0" applyNumberFormat="0" applyFill="0" applyBorder="0" applyAlignment="0" applyProtection="0"/>
    <xf numFmtId="0" fontId="1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32" borderId="9" applyNumberFormat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166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169" fontId="3" fillId="33" borderId="10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/>
    </xf>
    <xf numFmtId="166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169" fontId="3" fillId="34" borderId="10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70" fontId="3" fillId="34" borderId="10" xfId="0" applyNumberFormat="1" applyFont="1" applyFill="1" applyBorder="1" applyAlignment="1">
      <alignment/>
    </xf>
    <xf numFmtId="167" fontId="3" fillId="34" borderId="10" xfId="0" applyNumberFormat="1" applyFont="1" applyFill="1" applyBorder="1" applyAlignment="1">
      <alignment horizontal="center"/>
    </xf>
    <xf numFmtId="166" fontId="3" fillId="35" borderId="10" xfId="0" applyNumberFormat="1" applyFont="1" applyFill="1" applyBorder="1" applyAlignment="1">
      <alignment horizontal="center"/>
    </xf>
    <xf numFmtId="168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8" fontId="3" fillId="36" borderId="12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169" fontId="3" fillId="34" borderId="12" xfId="0" applyNumberFormat="1" applyFont="1" applyFill="1" applyBorder="1" applyAlignment="1">
      <alignment horizontal="center"/>
    </xf>
    <xf numFmtId="166" fontId="3" fillId="34" borderId="12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indent="5"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5" fillId="35" borderId="10" xfId="0" applyFont="1" applyFill="1" applyBorder="1" applyAlignment="1">
      <alignment horizontal="center"/>
    </xf>
    <xf numFmtId="176" fontId="3" fillId="37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168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66" fontId="3" fillId="38" borderId="10" xfId="0" applyNumberFormat="1" applyFont="1" applyFill="1" applyBorder="1" applyAlignment="1">
      <alignment horizontal="center"/>
    </xf>
    <xf numFmtId="169" fontId="3" fillId="38" borderId="10" xfId="0" applyNumberFormat="1" applyFont="1" applyFill="1" applyBorder="1" applyAlignment="1">
      <alignment horizontal="center"/>
    </xf>
    <xf numFmtId="169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166" fontId="3" fillId="39" borderId="10" xfId="0" applyNumberFormat="1" applyFont="1" applyFill="1" applyBorder="1" applyAlignment="1">
      <alignment horizontal="center"/>
    </xf>
    <xf numFmtId="169" fontId="3" fillId="39" borderId="10" xfId="0" applyNumberFormat="1" applyFont="1" applyFill="1" applyBorder="1" applyAlignment="1">
      <alignment horizontal="center"/>
    </xf>
    <xf numFmtId="169" fontId="3" fillId="39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/>
    </xf>
    <xf numFmtId="169" fontId="3" fillId="40" borderId="10" xfId="0" applyNumberFormat="1" applyFont="1" applyFill="1" applyBorder="1" applyAlignment="1">
      <alignment horizontal="center"/>
    </xf>
    <xf numFmtId="169" fontId="3" fillId="40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/>
    </xf>
    <xf numFmtId="166" fontId="3" fillId="41" borderId="10" xfId="0" applyNumberFormat="1" applyFont="1" applyFill="1" applyBorder="1" applyAlignment="1">
      <alignment horizontal="center"/>
    </xf>
    <xf numFmtId="169" fontId="3" fillId="41" borderId="10" xfId="0" applyNumberFormat="1" applyFont="1" applyFill="1" applyBorder="1" applyAlignment="1">
      <alignment horizontal="center"/>
    </xf>
    <xf numFmtId="169" fontId="3" fillId="41" borderId="10" xfId="0" applyNumberFormat="1" applyFont="1" applyFill="1" applyBorder="1" applyAlignment="1">
      <alignment horizontal="center" vertical="center" wrapText="1"/>
    </xf>
    <xf numFmtId="169" fontId="3" fillId="42" borderId="10" xfId="0" applyNumberFormat="1" applyFont="1" applyFill="1" applyBorder="1" applyAlignment="1">
      <alignment horizontal="center"/>
    </xf>
    <xf numFmtId="166" fontId="3" fillId="43" borderId="10" xfId="0" applyNumberFormat="1" applyFont="1" applyFill="1" applyBorder="1" applyAlignment="1">
      <alignment horizontal="center"/>
    </xf>
    <xf numFmtId="166" fontId="3" fillId="42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66" fontId="3" fillId="37" borderId="10" xfId="0" applyNumberFormat="1" applyFont="1" applyFill="1" applyBorder="1" applyAlignment="1">
      <alignment horizontal="center"/>
    </xf>
    <xf numFmtId="169" fontId="3" fillId="37" borderId="10" xfId="0" applyNumberFormat="1" applyFont="1" applyFill="1" applyBorder="1" applyAlignment="1">
      <alignment horizontal="center"/>
    </xf>
    <xf numFmtId="169" fontId="3" fillId="37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170" fontId="3" fillId="34" borderId="14" xfId="0" applyNumberFormat="1" applyFont="1" applyFill="1" applyBorder="1" applyAlignment="1">
      <alignment/>
    </xf>
    <xf numFmtId="167" fontId="3" fillId="34" borderId="14" xfId="0" applyNumberFormat="1" applyFont="1" applyFill="1" applyBorder="1" applyAlignment="1">
      <alignment horizontal="center"/>
    </xf>
    <xf numFmtId="170" fontId="3" fillId="33" borderId="14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44" borderId="15" xfId="0" applyFont="1" applyFill="1" applyBorder="1" applyAlignment="1">
      <alignment horizontal="center"/>
    </xf>
    <xf numFmtId="166" fontId="3" fillId="44" borderId="15" xfId="0" applyNumberFormat="1" applyFont="1" applyFill="1" applyBorder="1" applyAlignment="1">
      <alignment horizontal="center"/>
    </xf>
    <xf numFmtId="169" fontId="3" fillId="44" borderId="15" xfId="0" applyNumberFormat="1" applyFont="1" applyFill="1" applyBorder="1" applyAlignment="1">
      <alignment horizontal="center"/>
    </xf>
    <xf numFmtId="169" fontId="3" fillId="44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9" fontId="3" fillId="34" borderId="17" xfId="0" applyNumberFormat="1" applyFont="1" applyFill="1" applyBorder="1" applyAlignment="1">
      <alignment horizontal="center"/>
    </xf>
    <xf numFmtId="169" fontId="3" fillId="34" borderId="13" xfId="0" applyNumberFormat="1" applyFont="1" applyFill="1" applyBorder="1" applyAlignment="1">
      <alignment horizontal="center"/>
    </xf>
    <xf numFmtId="167" fontId="0" fillId="0" borderId="18" xfId="0" applyNumberFormat="1" applyBorder="1" applyAlignment="1">
      <alignment/>
    </xf>
    <xf numFmtId="167" fontId="3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 horizontal="center"/>
    </xf>
    <xf numFmtId="3" fontId="3" fillId="38" borderId="12" xfId="0" applyNumberFormat="1" applyFont="1" applyFill="1" applyBorder="1" applyAlignment="1">
      <alignment horizontal="center"/>
    </xf>
    <xf numFmtId="3" fontId="3" fillId="40" borderId="19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7" fillId="0" borderId="0" xfId="0" applyFont="1" applyAlignment="1">
      <alignment/>
    </xf>
    <xf numFmtId="1" fontId="25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167" fontId="25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9" fontId="25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45" borderId="10" xfId="0" applyFill="1" applyBorder="1" applyAlignment="1">
      <alignment vertical="center"/>
    </xf>
    <xf numFmtId="0" fontId="21" fillId="45" borderId="10" xfId="0" applyFont="1" applyFill="1" applyBorder="1" applyAlignment="1">
      <alignment horizontal="center" vertical="center"/>
    </xf>
    <xf numFmtId="0" fontId="0" fillId="45" borderId="0" xfId="0" applyFill="1" applyAlignment="1">
      <alignment vertical="center"/>
    </xf>
    <xf numFmtId="0" fontId="3" fillId="45" borderId="1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168" fontId="3" fillId="45" borderId="10" xfId="0" applyNumberFormat="1" applyFont="1" applyFill="1" applyBorder="1" applyAlignment="1" applyProtection="1">
      <alignment horizontal="center" vertical="center"/>
      <protection locked="0"/>
    </xf>
    <xf numFmtId="165" fontId="3" fillId="45" borderId="10" xfId="0" applyNumberFormat="1" applyFont="1" applyFill="1" applyBorder="1" applyAlignment="1">
      <alignment horizontal="center" vertical="center"/>
    </xf>
    <xf numFmtId="1" fontId="3" fillId="45" borderId="10" xfId="0" applyNumberFormat="1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1" fontId="3" fillId="45" borderId="10" xfId="0" applyNumberFormat="1" applyFont="1" applyFill="1" applyBorder="1" applyAlignment="1" applyProtection="1">
      <alignment horizontal="center" vertical="center"/>
      <protection locked="0"/>
    </xf>
    <xf numFmtId="0" fontId="23" fillId="45" borderId="10" xfId="0" applyFont="1" applyFill="1" applyBorder="1" applyAlignment="1">
      <alignment horizontal="left" vertical="center"/>
    </xf>
    <xf numFmtId="167" fontId="3" fillId="45" borderId="10" xfId="0" applyNumberFormat="1" applyFont="1" applyFill="1" applyBorder="1" applyAlignment="1">
      <alignment horizontal="center" vertical="center"/>
    </xf>
    <xf numFmtId="0" fontId="3" fillId="45" borderId="14" xfId="0" applyFont="1" applyFill="1" applyBorder="1" applyAlignment="1" applyProtection="1">
      <alignment horizontal="center" vertical="center"/>
      <protection locked="0"/>
    </xf>
    <xf numFmtId="0" fontId="3" fillId="45" borderId="10" xfId="0" applyFont="1" applyFill="1" applyBorder="1" applyAlignment="1" applyProtection="1">
      <alignment horizontal="center" vertical="center"/>
      <protection locked="0"/>
    </xf>
    <xf numFmtId="0" fontId="6" fillId="45" borderId="11" xfId="0" applyFont="1" applyFill="1" applyBorder="1" applyAlignment="1">
      <alignment horizontal="center" vertical="center"/>
    </xf>
    <xf numFmtId="0" fontId="3" fillId="45" borderId="12" xfId="0" applyFont="1" applyFill="1" applyBorder="1" applyAlignment="1" applyProtection="1">
      <alignment horizontal="center" vertical="center"/>
      <protection locked="0"/>
    </xf>
    <xf numFmtId="0" fontId="32" fillId="45" borderId="10" xfId="0" applyFont="1" applyFill="1" applyBorder="1" applyAlignment="1" applyProtection="1">
      <alignment horizontal="center" vertical="center"/>
      <protection locked="0"/>
    </xf>
    <xf numFmtId="0" fontId="20" fillId="45" borderId="10" xfId="0" applyFont="1" applyFill="1" applyBorder="1" applyAlignment="1">
      <alignment horizontal="center" vertical="center"/>
    </xf>
    <xf numFmtId="2" fontId="3" fillId="45" borderId="0" xfId="0" applyNumberFormat="1" applyFont="1" applyFill="1" applyAlignment="1">
      <alignment horizontal="center"/>
    </xf>
    <xf numFmtId="0" fontId="2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7" fillId="0" borderId="10" xfId="0" applyFont="1" applyFill="1" applyBorder="1" applyAlignment="1">
      <alignment horizontal="left" indent="2"/>
    </xf>
    <xf numFmtId="0" fontId="37" fillId="0" borderId="10" xfId="0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0" fontId="37" fillId="0" borderId="15" xfId="0" applyFont="1" applyFill="1" applyBorder="1" applyAlignment="1">
      <alignment horizontal="left" indent="2"/>
    </xf>
    <xf numFmtId="0" fontId="3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indent="2"/>
    </xf>
    <xf numFmtId="169" fontId="25" fillId="0" borderId="15" xfId="0" applyNumberFormat="1" applyFont="1" applyBorder="1" applyAlignment="1">
      <alignment horizontal="center"/>
    </xf>
    <xf numFmtId="0" fontId="37" fillId="0" borderId="14" xfId="0" applyFont="1" applyFill="1" applyBorder="1" applyAlignment="1">
      <alignment horizontal="left" indent="2"/>
    </xf>
    <xf numFmtId="0" fontId="37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197" fontId="21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45" borderId="10" xfId="0" applyFont="1" applyFill="1" applyBorder="1" applyAlignment="1">
      <alignment horizontal="left" vertical="center" indent="1"/>
    </xf>
    <xf numFmtId="0" fontId="43" fillId="45" borderId="10" xfId="0" applyFont="1" applyFill="1" applyBorder="1" applyAlignment="1">
      <alignment horizontal="center" vertical="center"/>
    </xf>
    <xf numFmtId="0" fontId="42" fillId="45" borderId="10" xfId="0" applyFont="1" applyFill="1" applyBorder="1" applyAlignment="1">
      <alignment horizontal="left" vertical="center" indent="3"/>
    </xf>
    <xf numFmtId="1" fontId="3" fillId="45" borderId="11" xfId="0" applyNumberFormat="1" applyFont="1" applyFill="1" applyBorder="1" applyAlignment="1" applyProtection="1">
      <alignment horizontal="center" vertical="center"/>
      <protection locked="0"/>
    </xf>
    <xf numFmtId="0" fontId="42" fillId="45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left" vertical="center" wrapText="1"/>
    </xf>
    <xf numFmtId="0" fontId="33" fillId="45" borderId="10" xfId="0" applyFont="1" applyFill="1" applyBorder="1" applyAlignment="1" applyProtection="1">
      <alignment horizontal="center" vertical="center"/>
      <protection locked="0"/>
    </xf>
    <xf numFmtId="165" fontId="3" fillId="42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 vertical="center"/>
      <protection/>
    </xf>
    <xf numFmtId="3" fontId="3" fillId="42" borderId="10" xfId="0" applyNumberFormat="1" applyFont="1" applyFill="1" applyBorder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vertical="center"/>
      <protection/>
    </xf>
    <xf numFmtId="167" fontId="3" fillId="42" borderId="10" xfId="0" applyNumberFormat="1" applyFont="1" applyFill="1" applyBorder="1" applyAlignment="1" applyProtection="1">
      <alignment horizontal="center" vertical="center"/>
      <protection/>
    </xf>
    <xf numFmtId="0" fontId="3" fillId="42" borderId="14" xfId="0" applyFont="1" applyFill="1" applyBorder="1" applyAlignment="1" applyProtection="1">
      <alignment horizontal="center" vertical="center"/>
      <protection/>
    </xf>
    <xf numFmtId="0" fontId="3" fillId="42" borderId="12" xfId="0" applyFont="1" applyFill="1" applyBorder="1" applyAlignment="1" applyProtection="1">
      <alignment horizontal="center" vertical="center"/>
      <protection/>
    </xf>
    <xf numFmtId="1" fontId="3" fillId="42" borderId="10" xfId="0" applyNumberFormat="1" applyFont="1" applyFill="1" applyBorder="1" applyAlignment="1" applyProtection="1">
      <alignment horizontal="center" vertical="center"/>
      <protection/>
    </xf>
    <xf numFmtId="167" fontId="3" fillId="42" borderId="20" xfId="0" applyNumberFormat="1" applyFont="1" applyFill="1" applyBorder="1" applyAlignment="1" applyProtection="1">
      <alignment horizontal="center" vertical="center"/>
      <protection/>
    </xf>
    <xf numFmtId="2" fontId="42" fillId="42" borderId="10" xfId="0" applyNumberFormat="1" applyFont="1" applyFill="1" applyBorder="1" applyAlignment="1" applyProtection="1">
      <alignment horizontal="center" vertical="center"/>
      <protection/>
    </xf>
    <xf numFmtId="3" fontId="42" fillId="42" borderId="10" xfId="0" applyNumberFormat="1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left" indent="2"/>
    </xf>
    <xf numFmtId="0" fontId="54" fillId="0" borderId="10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 indent="2"/>
    </xf>
    <xf numFmtId="166" fontId="51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165" fontId="42" fillId="0" borderId="12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indent="2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6" fontId="40" fillId="42" borderId="21" xfId="0" applyNumberFormat="1" applyFont="1" applyFill="1" applyBorder="1" applyAlignment="1">
      <alignment horizontal="center"/>
    </xf>
    <xf numFmtId="165" fontId="40" fillId="42" borderId="22" xfId="0" applyNumberFormat="1" applyFont="1" applyFill="1" applyBorder="1" applyAlignment="1">
      <alignment horizontal="center"/>
    </xf>
    <xf numFmtId="167" fontId="40" fillId="33" borderId="22" xfId="0" applyNumberFormat="1" applyFont="1" applyFill="1" applyBorder="1" applyAlignment="1">
      <alignment horizontal="center"/>
    </xf>
    <xf numFmtId="166" fontId="40" fillId="33" borderId="22" xfId="0" applyNumberFormat="1" applyFont="1" applyFill="1" applyBorder="1" applyAlignment="1">
      <alignment horizontal="center"/>
    </xf>
    <xf numFmtId="167" fontId="42" fillId="0" borderId="23" xfId="0" applyNumberFormat="1" applyFont="1" applyBorder="1" applyAlignment="1">
      <alignment horizontal="center"/>
    </xf>
    <xf numFmtId="166" fontId="51" fillId="0" borderId="24" xfId="0" applyNumberFormat="1" applyFont="1" applyFill="1" applyBorder="1" applyAlignment="1">
      <alignment horizontal="center"/>
    </xf>
    <xf numFmtId="165" fontId="51" fillId="0" borderId="25" xfId="0" applyNumberFormat="1" applyFont="1" applyFill="1" applyBorder="1" applyAlignment="1">
      <alignment horizontal="center"/>
    </xf>
    <xf numFmtId="167" fontId="51" fillId="0" borderId="25" xfId="0" applyNumberFormat="1" applyFont="1" applyFill="1" applyBorder="1" applyAlignment="1">
      <alignment horizontal="center"/>
    </xf>
    <xf numFmtId="166" fontId="51" fillId="0" borderId="25" xfId="0" applyNumberFormat="1" applyFont="1" applyFill="1" applyBorder="1" applyAlignment="1">
      <alignment horizontal="center"/>
    </xf>
    <xf numFmtId="167" fontId="24" fillId="0" borderId="26" xfId="0" applyNumberFormat="1" applyFont="1" applyFill="1" applyBorder="1" applyAlignment="1">
      <alignment horizontal="center"/>
    </xf>
    <xf numFmtId="3" fontId="3" fillId="44" borderId="15" xfId="0" applyNumberFormat="1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3" fontId="3" fillId="41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169" fontId="3" fillId="42" borderId="10" xfId="0" applyNumberFormat="1" applyFont="1" applyFill="1" applyBorder="1" applyAlignment="1">
      <alignment horizontal="center" vertical="center" wrapText="1"/>
    </xf>
    <xf numFmtId="169" fontId="3" fillId="43" borderId="10" xfId="0" applyNumberFormat="1" applyFont="1" applyFill="1" applyBorder="1" applyAlignment="1">
      <alignment horizontal="center"/>
    </xf>
    <xf numFmtId="0" fontId="15" fillId="45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 applyProtection="1">
      <alignment horizontal="center" vertical="center"/>
      <protection/>
    </xf>
    <xf numFmtId="0" fontId="3" fillId="45" borderId="12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167" fontId="3" fillId="45" borderId="12" xfId="0" applyNumberFormat="1" applyFont="1" applyFill="1" applyBorder="1" applyAlignment="1" applyProtection="1">
      <alignment horizontal="center" vertical="center"/>
      <protection/>
    </xf>
    <xf numFmtId="167" fontId="3" fillId="45" borderId="19" xfId="0" applyNumberFormat="1" applyFont="1" applyFill="1" applyBorder="1" applyAlignment="1">
      <alignment horizontal="center" vertical="center"/>
    </xf>
    <xf numFmtId="0" fontId="3" fillId="45" borderId="15" xfId="0" applyFont="1" applyFill="1" applyBorder="1" applyAlignment="1">
      <alignment horizontal="left" vertical="center"/>
    </xf>
    <xf numFmtId="0" fontId="3" fillId="45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168" fontId="3" fillId="45" borderId="15" xfId="0" applyNumberFormat="1" applyFont="1" applyFill="1" applyBorder="1" applyAlignment="1" applyProtection="1">
      <alignment horizontal="center" vertical="center"/>
      <protection locked="0"/>
    </xf>
    <xf numFmtId="168" fontId="3" fillId="42" borderId="15" xfId="0" applyNumberFormat="1" applyFont="1" applyFill="1" applyBorder="1" applyAlignment="1" applyProtection="1">
      <alignment horizontal="center" vertical="center"/>
      <protection/>
    </xf>
    <xf numFmtId="0" fontId="20" fillId="45" borderId="15" xfId="0" applyFont="1" applyFill="1" applyBorder="1" applyAlignment="1">
      <alignment horizontal="center" vertical="center"/>
    </xf>
    <xf numFmtId="1" fontId="3" fillId="45" borderId="15" xfId="0" applyNumberFormat="1" applyFont="1" applyFill="1" applyBorder="1" applyAlignment="1" applyProtection="1">
      <alignment horizontal="center" vertical="center"/>
      <protection locked="0"/>
    </xf>
    <xf numFmtId="1" fontId="3" fillId="45" borderId="27" xfId="0" applyNumberFormat="1" applyFont="1" applyFill="1" applyBorder="1" applyAlignment="1" applyProtection="1">
      <alignment horizontal="center" vertical="center"/>
      <protection locked="0"/>
    </xf>
    <xf numFmtId="167" fontId="3" fillId="42" borderId="28" xfId="0" applyNumberFormat="1" applyFont="1" applyFill="1" applyBorder="1" applyAlignment="1" applyProtection="1">
      <alignment horizontal="center" vertical="center"/>
      <protection/>
    </xf>
    <xf numFmtId="0" fontId="0" fillId="42" borderId="12" xfId="0" applyFill="1" applyBorder="1" applyAlignment="1" applyProtection="1">
      <alignment vertical="center"/>
      <protection/>
    </xf>
    <xf numFmtId="0" fontId="61" fillId="0" borderId="10" xfId="0" applyFont="1" applyBorder="1" applyAlignment="1">
      <alignment horizontal="center"/>
    </xf>
    <xf numFmtId="0" fontId="61" fillId="42" borderId="10" xfId="0" applyFont="1" applyFill="1" applyBorder="1" applyAlignment="1" applyProtection="1">
      <alignment horizontal="center" vertical="center"/>
      <protection/>
    </xf>
    <xf numFmtId="0" fontId="64" fillId="45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left" vertical="center"/>
    </xf>
    <xf numFmtId="0" fontId="61" fillId="45" borderId="10" xfId="0" applyFont="1" applyFill="1" applyBorder="1" applyAlignment="1">
      <alignment horizontal="left" vertical="center" indent="3"/>
    </xf>
    <xf numFmtId="0" fontId="61" fillId="45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left" vertical="center" indent="5"/>
    </xf>
    <xf numFmtId="0" fontId="42" fillId="45" borderId="10" xfId="0" applyFont="1" applyFill="1" applyBorder="1" applyAlignment="1">
      <alignment horizontal="left" vertical="center" indent="5"/>
    </xf>
    <xf numFmtId="0" fontId="42" fillId="45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3" fillId="45" borderId="15" xfId="0" applyFont="1" applyFill="1" applyBorder="1" applyAlignment="1">
      <alignment horizontal="left" vertical="center" indent="1"/>
    </xf>
    <xf numFmtId="0" fontId="21" fillId="45" borderId="15" xfId="0" applyFont="1" applyFill="1" applyBorder="1" applyAlignment="1">
      <alignment horizontal="center" vertical="center" wrapText="1"/>
    </xf>
    <xf numFmtId="0" fontId="41" fillId="42" borderId="12" xfId="0" applyFont="1" applyFill="1" applyBorder="1" applyAlignment="1" applyProtection="1">
      <alignment vertical="center"/>
      <protection/>
    </xf>
    <xf numFmtId="0" fontId="41" fillId="42" borderId="12" xfId="0" applyFont="1" applyFill="1" applyBorder="1" applyAlignment="1" applyProtection="1">
      <alignment horizontal="center" vertical="center"/>
      <protection/>
    </xf>
    <xf numFmtId="0" fontId="61" fillId="45" borderId="15" xfId="0" applyFont="1" applyFill="1" applyBorder="1" applyAlignment="1">
      <alignment horizontal="left" vertical="center" indent="3"/>
    </xf>
    <xf numFmtId="0" fontId="61" fillId="42" borderId="15" xfId="0" applyFont="1" applyFill="1" applyBorder="1" applyAlignment="1" applyProtection="1">
      <alignment horizontal="center" vertical="center"/>
      <protection/>
    </xf>
    <xf numFmtId="3" fontId="61" fillId="42" borderId="15" xfId="0" applyNumberFormat="1" applyFont="1" applyFill="1" applyBorder="1" applyAlignment="1" applyProtection="1">
      <alignment horizontal="center" vertical="center"/>
      <protection/>
    </xf>
    <xf numFmtId="0" fontId="68" fillId="46" borderId="0" xfId="0" applyFont="1" applyFill="1" applyAlignment="1">
      <alignment/>
    </xf>
    <xf numFmtId="0" fontId="64" fillId="45" borderId="12" xfId="0" applyFont="1" applyFill="1" applyBorder="1" applyAlignment="1">
      <alignment horizontal="center" vertical="center"/>
    </xf>
    <xf numFmtId="0" fontId="63" fillId="4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169" fontId="21" fillId="0" borderId="12" xfId="0" applyNumberFormat="1" applyFont="1" applyBorder="1" applyAlignment="1">
      <alignment horizontal="center"/>
    </xf>
    <xf numFmtId="0" fontId="61" fillId="45" borderId="15" xfId="0" applyFont="1" applyFill="1" applyBorder="1" applyAlignment="1">
      <alignment horizontal="left" vertical="center" indent="7"/>
    </xf>
    <xf numFmtId="0" fontId="44" fillId="45" borderId="15" xfId="0" applyFont="1" applyFill="1" applyBorder="1" applyAlignment="1">
      <alignment horizontal="left" vertical="center" indent="8"/>
    </xf>
    <xf numFmtId="0" fontId="44" fillId="45" borderId="15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center"/>
    </xf>
    <xf numFmtId="172" fontId="29" fillId="0" borderId="10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left" vertical="center"/>
    </xf>
    <xf numFmtId="203" fontId="21" fillId="0" borderId="10" xfId="0" applyNumberFormat="1" applyFont="1" applyBorder="1" applyAlignment="1">
      <alignment horizontal="center"/>
    </xf>
    <xf numFmtId="204" fontId="30" fillId="0" borderId="10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205" fontId="2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12" fillId="0" borderId="0" xfId="47" applyAlignment="1" applyProtection="1">
      <alignment/>
      <protection/>
    </xf>
    <xf numFmtId="0" fontId="72" fillId="45" borderId="0" xfId="0" applyFont="1" applyFill="1" applyAlignment="1">
      <alignment vertical="center"/>
    </xf>
    <xf numFmtId="0" fontId="72" fillId="0" borderId="0" xfId="0" applyFont="1" applyAlignment="1">
      <alignment/>
    </xf>
    <xf numFmtId="0" fontId="72" fillId="0" borderId="0" xfId="47" applyFont="1" applyAlignment="1" applyProtection="1">
      <alignment/>
      <protection/>
    </xf>
    <xf numFmtId="0" fontId="72" fillId="0" borderId="0" xfId="0" applyFont="1" applyAlignment="1">
      <alignment/>
    </xf>
    <xf numFmtId="16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indent="5"/>
    </xf>
    <xf numFmtId="0" fontId="2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indent="2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11" fontId="2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63" fillId="2" borderId="10" xfId="0" applyFont="1" applyFill="1" applyBorder="1" applyAlignment="1">
      <alignment horizontal="center"/>
    </xf>
    <xf numFmtId="0" fontId="164" fillId="0" borderId="10" xfId="0" applyFont="1" applyBorder="1" applyAlignment="1">
      <alignment horizontal="center"/>
    </xf>
    <xf numFmtId="165" fontId="3" fillId="10" borderId="10" xfId="0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0" fontId="61" fillId="0" borderId="15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7" fillId="0" borderId="14" xfId="0" applyFont="1" applyBorder="1" applyAlignment="1">
      <alignment horizontal="center" vertical="center"/>
    </xf>
    <xf numFmtId="219" fontId="1" fillId="0" borderId="0" xfId="0" applyNumberFormat="1" applyFont="1" applyBorder="1" applyAlignment="1">
      <alignment/>
    </xf>
    <xf numFmtId="3" fontId="85" fillId="0" borderId="10" xfId="0" applyNumberFormat="1" applyFont="1" applyBorder="1" applyAlignment="1">
      <alignment horizontal="center"/>
    </xf>
    <xf numFmtId="3" fontId="85" fillId="0" borderId="11" xfId="0" applyNumberFormat="1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165" fillId="0" borderId="10" xfId="0" applyFont="1" applyFill="1" applyBorder="1" applyAlignment="1">
      <alignment horizontal="left" indent="2"/>
    </xf>
    <xf numFmtId="3" fontId="3" fillId="45" borderId="10" xfId="0" applyNumberFormat="1" applyFont="1" applyFill="1" applyBorder="1" applyAlignment="1" applyProtection="1">
      <alignment horizontal="center" vertical="center"/>
      <protection locked="0"/>
    </xf>
    <xf numFmtId="3" fontId="3" fillId="45" borderId="10" xfId="0" applyNumberFormat="1" applyFont="1" applyFill="1" applyBorder="1" applyAlignment="1">
      <alignment horizontal="center" vertical="center"/>
    </xf>
    <xf numFmtId="3" fontId="3" fillId="45" borderId="15" xfId="0" applyNumberFormat="1" applyFont="1" applyFill="1" applyBorder="1" applyAlignment="1">
      <alignment horizontal="center" vertical="center"/>
    </xf>
    <xf numFmtId="3" fontId="3" fillId="42" borderId="15" xfId="0" applyNumberFormat="1" applyFont="1" applyFill="1" applyBorder="1" applyAlignment="1" applyProtection="1">
      <alignment horizontal="center" vertical="center"/>
      <protection/>
    </xf>
    <xf numFmtId="165" fontId="166" fillId="42" borderId="10" xfId="0" applyNumberFormat="1" applyFont="1" applyFill="1" applyBorder="1" applyAlignment="1" applyProtection="1">
      <alignment horizontal="center" vertical="center"/>
      <protection/>
    </xf>
    <xf numFmtId="3" fontId="166" fillId="42" borderId="10" xfId="0" applyNumberFormat="1" applyFont="1" applyFill="1" applyBorder="1" applyAlignment="1" applyProtection="1">
      <alignment horizontal="center" vertical="center"/>
      <protection/>
    </xf>
    <xf numFmtId="0" fontId="167" fillId="45" borderId="10" xfId="0" applyFont="1" applyFill="1" applyBorder="1" applyAlignment="1" applyProtection="1">
      <alignment horizontal="center" vertical="center"/>
      <protection locked="0"/>
    </xf>
    <xf numFmtId="0" fontId="18" fillId="45" borderId="10" xfId="0" applyFont="1" applyFill="1" applyBorder="1" applyAlignment="1" applyProtection="1">
      <alignment horizontal="center" vertical="center"/>
      <protection locked="0"/>
    </xf>
    <xf numFmtId="3" fontId="3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vertical="center"/>
      <protection locked="0"/>
    </xf>
    <xf numFmtId="0" fontId="3" fillId="42" borderId="10" xfId="0" applyFont="1" applyFill="1" applyBorder="1" applyAlignment="1" applyProtection="1">
      <alignment horizontal="center" vertical="center"/>
      <protection locked="0"/>
    </xf>
    <xf numFmtId="167" fontId="3" fillId="45" borderId="10" xfId="0" applyNumberFormat="1" applyFont="1" applyFill="1" applyBorder="1" applyAlignment="1" applyProtection="1">
      <alignment horizontal="center" vertical="center"/>
      <protection locked="0"/>
    </xf>
    <xf numFmtId="2" fontId="3" fillId="45" borderId="15" xfId="0" applyNumberFormat="1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>
      <alignment horizontal="center"/>
    </xf>
    <xf numFmtId="165" fontId="37" fillId="0" borderId="14" xfId="0" applyNumberFormat="1" applyFont="1" applyBorder="1" applyAlignment="1">
      <alignment horizontal="center"/>
    </xf>
    <xf numFmtId="0" fontId="73" fillId="0" borderId="1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24" fillId="0" borderId="14" xfId="0" applyFont="1" applyFill="1" applyBorder="1" applyAlignment="1">
      <alignment horizontal="left" indent="2"/>
    </xf>
    <xf numFmtId="0" fontId="25" fillId="0" borderId="12" xfId="0" applyFont="1" applyBorder="1" applyAlignment="1">
      <alignment horizontal="left" indent="5"/>
    </xf>
    <xf numFmtId="0" fontId="25" fillId="0" borderId="12" xfId="0" applyFont="1" applyBorder="1" applyAlignment="1">
      <alignment horizontal="center"/>
    </xf>
    <xf numFmtId="169" fontId="25" fillId="0" borderId="12" xfId="0" applyNumberFormat="1" applyFont="1" applyBorder="1" applyAlignment="1">
      <alignment horizontal="center"/>
    </xf>
    <xf numFmtId="0" fontId="74" fillId="0" borderId="11" xfId="0" applyFont="1" applyFill="1" applyBorder="1" applyAlignment="1">
      <alignment/>
    </xf>
    <xf numFmtId="0" fontId="61" fillId="0" borderId="15" xfId="0" applyFont="1" applyFill="1" applyBorder="1" applyAlignment="1">
      <alignment horizontal="left" indent="1"/>
    </xf>
    <xf numFmtId="0" fontId="168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0" fillId="42" borderId="15" xfId="0" applyFont="1" applyFill="1" applyBorder="1" applyAlignment="1" applyProtection="1">
      <alignment horizontal="center" vertical="center"/>
      <protection/>
    </xf>
    <xf numFmtId="1" fontId="3" fillId="42" borderId="15" xfId="0" applyNumberFormat="1" applyFont="1" applyFill="1" applyBorder="1" applyAlignment="1" applyProtection="1">
      <alignment horizontal="center" vertical="center"/>
      <protection/>
    </xf>
    <xf numFmtId="0" fontId="169" fillId="45" borderId="10" xfId="0" applyFont="1" applyFill="1" applyBorder="1" applyAlignment="1" applyProtection="1">
      <alignment horizontal="center" vertical="center"/>
      <protection locked="0"/>
    </xf>
    <xf numFmtId="3" fontId="170" fillId="42" borderId="10" xfId="0" applyNumberFormat="1" applyFont="1" applyFill="1" applyBorder="1" applyAlignment="1" applyProtection="1">
      <alignment horizontal="center" vertical="center"/>
      <protection/>
    </xf>
    <xf numFmtId="165" fontId="171" fillId="42" borderId="10" xfId="0" applyNumberFormat="1" applyFont="1" applyFill="1" applyBorder="1" applyAlignment="1" applyProtection="1">
      <alignment horizontal="center" vertical="center"/>
      <protection/>
    </xf>
    <xf numFmtId="0" fontId="167" fillId="42" borderId="10" xfId="0" applyFont="1" applyFill="1" applyBorder="1" applyAlignment="1" applyProtection="1">
      <alignment horizontal="center" vertical="center"/>
      <protection/>
    </xf>
    <xf numFmtId="3" fontId="3" fillId="42" borderId="15" xfId="0" applyNumberFormat="1" applyFont="1" applyFill="1" applyBorder="1" applyAlignment="1" applyProtection="1">
      <alignment horizontal="center" vertical="center"/>
      <protection locked="0"/>
    </xf>
    <xf numFmtId="167" fontId="21" fillId="0" borderId="14" xfId="0" applyNumberFormat="1" applyFont="1" applyBorder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2" fillId="45" borderId="12" xfId="0" applyFont="1" applyFill="1" applyBorder="1" applyAlignment="1">
      <alignment horizontal="center" vertical="center"/>
    </xf>
    <xf numFmtId="0" fontId="172" fillId="0" borderId="3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167" fillId="0" borderId="10" xfId="0" applyFont="1" applyFill="1" applyBorder="1" applyAlignment="1">
      <alignment horizontal="center"/>
    </xf>
    <xf numFmtId="0" fontId="167" fillId="0" borderId="14" xfId="0" applyFont="1" applyFill="1" applyBorder="1" applyAlignment="1">
      <alignment horizontal="center"/>
    </xf>
    <xf numFmtId="0" fontId="173" fillId="0" borderId="15" xfId="0" applyFont="1" applyBorder="1" applyAlignment="1">
      <alignment horizontal="left" indent="2"/>
    </xf>
    <xf numFmtId="0" fontId="174" fillId="0" borderId="15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175" fillId="0" borderId="15" xfId="0" applyFont="1" applyBorder="1" applyAlignment="1">
      <alignment horizontal="center"/>
    </xf>
    <xf numFmtId="0" fontId="34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29" fillId="0" borderId="31" xfId="0" applyFont="1" applyBorder="1" applyAlignment="1">
      <alignment horizontal="center"/>
    </xf>
    <xf numFmtId="167" fontId="25" fillId="0" borderId="3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165" fontId="93" fillId="0" borderId="10" xfId="0" applyNumberFormat="1" applyFont="1" applyBorder="1" applyAlignment="1">
      <alignment horizontal="center"/>
    </xf>
    <xf numFmtId="166" fontId="176" fillId="0" borderId="10" xfId="0" applyNumberFormat="1" applyFont="1" applyBorder="1" applyAlignment="1">
      <alignment horizontal="center"/>
    </xf>
    <xf numFmtId="166" fontId="176" fillId="0" borderId="14" xfId="0" applyNumberFormat="1" applyFont="1" applyBorder="1" applyAlignment="1">
      <alignment horizontal="center"/>
    </xf>
    <xf numFmtId="0" fontId="51" fillId="0" borderId="12" xfId="0" applyFont="1" applyBorder="1" applyAlignment="1">
      <alignment horizontal="left"/>
    </xf>
    <xf numFmtId="167" fontId="24" fillId="0" borderId="12" xfId="0" applyNumberFormat="1" applyFont="1" applyBorder="1" applyAlignment="1">
      <alignment horizontal="center"/>
    </xf>
    <xf numFmtId="0" fontId="17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indent="1"/>
    </xf>
    <xf numFmtId="216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3" fillId="47" borderId="10" xfId="0" applyNumberFormat="1" applyFont="1" applyFill="1" applyBorder="1" applyAlignment="1">
      <alignment horizontal="center"/>
    </xf>
    <xf numFmtId="0" fontId="178" fillId="0" borderId="10" xfId="0" applyFont="1" applyBorder="1" applyAlignment="1">
      <alignment horizontal="center"/>
    </xf>
    <xf numFmtId="166" fontId="171" fillId="0" borderId="10" xfId="0" applyNumberFormat="1" applyFont="1" applyFill="1" applyBorder="1" applyAlignment="1">
      <alignment horizontal="center"/>
    </xf>
    <xf numFmtId="169" fontId="3" fillId="15" borderId="15" xfId="0" applyNumberFormat="1" applyFont="1" applyFill="1" applyBorder="1" applyAlignment="1">
      <alignment horizontal="center"/>
    </xf>
    <xf numFmtId="169" fontId="3" fillId="8" borderId="10" xfId="0" applyNumberFormat="1" applyFont="1" applyFill="1" applyBorder="1" applyAlignment="1">
      <alignment horizontal="center"/>
    </xf>
    <xf numFmtId="169" fontId="3" fillId="48" borderId="10" xfId="0" applyNumberFormat="1" applyFont="1" applyFill="1" applyBorder="1" applyAlignment="1">
      <alignment horizontal="center"/>
    </xf>
    <xf numFmtId="169" fontId="3" fillId="30" borderId="10" xfId="0" applyNumberFormat="1" applyFont="1" applyFill="1" applyBorder="1" applyAlignment="1">
      <alignment horizontal="center"/>
    </xf>
    <xf numFmtId="169" fontId="3" fillId="47" borderId="10" xfId="0" applyNumberFormat="1" applyFont="1" applyFill="1" applyBorder="1" applyAlignment="1">
      <alignment horizontal="center"/>
    </xf>
    <xf numFmtId="169" fontId="3" fillId="19" borderId="10" xfId="0" applyNumberFormat="1" applyFont="1" applyFill="1" applyBorder="1" applyAlignment="1">
      <alignment horizontal="center"/>
    </xf>
    <xf numFmtId="170" fontId="163" fillId="10" borderId="12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70" fontId="3" fillId="17" borderId="15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70" fontId="3" fillId="19" borderId="10" xfId="0" applyNumberFormat="1" applyFont="1" applyFill="1" applyBorder="1" applyAlignment="1">
      <alignment horizontal="center"/>
    </xf>
    <xf numFmtId="170" fontId="3" fillId="12" borderId="10" xfId="0" applyNumberFormat="1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170" fontId="3" fillId="30" borderId="1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8" fillId="47" borderId="10" xfId="0" applyFont="1" applyFill="1" applyBorder="1" applyAlignment="1">
      <alignment horizontal="center"/>
    </xf>
    <xf numFmtId="0" fontId="0" fillId="47" borderId="0" xfId="0" applyFill="1" applyAlignment="1">
      <alignment/>
    </xf>
    <xf numFmtId="0" fontId="8" fillId="19" borderId="11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8" fillId="12" borderId="10" xfId="0" applyFont="1" applyFill="1" applyBorder="1" applyAlignment="1">
      <alignment horizontal="center"/>
    </xf>
    <xf numFmtId="0" fontId="0" fillId="12" borderId="0" xfId="0" applyFill="1" applyAlignment="1">
      <alignment/>
    </xf>
    <xf numFmtId="3" fontId="61" fillId="42" borderId="10" xfId="0" applyNumberFormat="1" applyFont="1" applyFill="1" applyBorder="1" applyAlignment="1" applyProtection="1">
      <alignment horizontal="center" vertical="center"/>
      <protection/>
    </xf>
    <xf numFmtId="168" fontId="42" fillId="42" borderId="10" xfId="0" applyNumberFormat="1" applyFont="1" applyFill="1" applyBorder="1" applyAlignment="1" applyProtection="1">
      <alignment horizontal="center" vertical="center"/>
      <protection/>
    </xf>
    <xf numFmtId="0" fontId="179" fillId="42" borderId="10" xfId="0" applyFont="1" applyFill="1" applyBorder="1" applyAlignment="1" applyProtection="1">
      <alignment horizontal="center" vertical="center"/>
      <protection/>
    </xf>
    <xf numFmtId="3" fontId="179" fillId="42" borderId="10" xfId="0" applyNumberFormat="1" applyFont="1" applyFill="1" applyBorder="1" applyAlignment="1" applyProtection="1">
      <alignment horizontal="center" vertical="center"/>
      <protection/>
    </xf>
    <xf numFmtId="165" fontId="61" fillId="42" borderId="10" xfId="0" applyNumberFormat="1" applyFont="1" applyFill="1" applyBorder="1" applyAlignment="1" applyProtection="1">
      <alignment horizontal="center" vertical="center"/>
      <protection/>
    </xf>
    <xf numFmtId="167" fontId="166" fillId="42" borderId="10" xfId="0" applyNumberFormat="1" applyFont="1" applyFill="1" applyBorder="1" applyAlignment="1" applyProtection="1">
      <alignment horizontal="center" vertical="center"/>
      <protection/>
    </xf>
    <xf numFmtId="3" fontId="166" fillId="42" borderId="10" xfId="59" applyNumberFormat="1" applyFont="1" applyFill="1" applyBorder="1" applyAlignment="1" applyProtection="1">
      <alignment horizontal="center" vertical="center"/>
      <protection/>
    </xf>
    <xf numFmtId="1" fontId="15" fillId="45" borderId="15" xfId="0" applyNumberFormat="1" applyFont="1" applyFill="1" applyBorder="1" applyAlignment="1" applyProtection="1">
      <alignment horizontal="center" vertical="center"/>
      <protection/>
    </xf>
    <xf numFmtId="0" fontId="0" fillId="45" borderId="32" xfId="0" applyFill="1" applyBorder="1" applyAlignment="1" applyProtection="1">
      <alignment vertical="center"/>
      <protection/>
    </xf>
    <xf numFmtId="166" fontId="63" fillId="45" borderId="15" xfId="0" applyNumberFormat="1" applyFont="1" applyFill="1" applyBorder="1" applyAlignment="1" applyProtection="1">
      <alignment horizontal="center" vertical="center"/>
      <protection/>
    </xf>
    <xf numFmtId="165" fontId="63" fillId="45" borderId="15" xfId="0" applyNumberFormat="1" applyFont="1" applyFill="1" applyBorder="1" applyAlignment="1" applyProtection="1">
      <alignment horizontal="center" vertical="center"/>
      <protection/>
    </xf>
    <xf numFmtId="166" fontId="63" fillId="49" borderId="15" xfId="0" applyNumberFormat="1" applyFont="1" applyFill="1" applyBorder="1" applyAlignment="1" applyProtection="1">
      <alignment horizontal="center" vertical="center"/>
      <protection/>
    </xf>
    <xf numFmtId="0" fontId="63" fillId="45" borderId="12" xfId="0" applyFont="1" applyFill="1" applyBorder="1" applyAlignment="1" applyProtection="1">
      <alignment vertical="center"/>
      <protection/>
    </xf>
    <xf numFmtId="0" fontId="63" fillId="45" borderId="0" xfId="0" applyFont="1" applyFill="1" applyAlignment="1" applyProtection="1">
      <alignment vertical="center"/>
      <protection/>
    </xf>
    <xf numFmtId="167" fontId="61" fillId="45" borderId="10" xfId="0" applyNumberFormat="1" applyFont="1" applyFill="1" applyBorder="1" applyAlignment="1" applyProtection="1">
      <alignment horizontal="center" vertical="center"/>
      <protection/>
    </xf>
    <xf numFmtId="3" fontId="61" fillId="45" borderId="10" xfId="0" applyNumberFormat="1" applyFont="1" applyFill="1" applyBorder="1" applyAlignment="1" applyProtection="1">
      <alignment horizontal="center" vertical="center"/>
      <protection/>
    </xf>
    <xf numFmtId="0" fontId="61" fillId="45" borderId="10" xfId="0" applyFont="1" applyFill="1" applyBorder="1" applyAlignment="1" applyProtection="1">
      <alignment horizontal="left" vertical="center" indent="3"/>
      <protection/>
    </xf>
    <xf numFmtId="3" fontId="61" fillId="45" borderId="15" xfId="0" applyNumberFormat="1" applyFont="1" applyFill="1" applyBorder="1" applyAlignment="1" applyProtection="1">
      <alignment horizontal="center" vertical="center"/>
      <protection/>
    </xf>
    <xf numFmtId="0" fontId="61" fillId="45" borderId="15" xfId="0" applyFont="1" applyFill="1" applyBorder="1" applyAlignment="1" applyProtection="1">
      <alignment horizontal="left" vertical="center" indent="3"/>
      <protection/>
    </xf>
    <xf numFmtId="0" fontId="44" fillId="45" borderId="12" xfId="0" applyFont="1" applyFill="1" applyBorder="1" applyAlignment="1" applyProtection="1">
      <alignment vertical="center"/>
      <protection/>
    </xf>
    <xf numFmtId="0" fontId="0" fillId="45" borderId="0" xfId="0" applyFill="1" applyAlignment="1" applyProtection="1">
      <alignment vertical="center"/>
      <protection/>
    </xf>
    <xf numFmtId="167" fontId="42" fillId="45" borderId="10" xfId="0" applyNumberFormat="1" applyFont="1" applyFill="1" applyBorder="1" applyAlignment="1" applyProtection="1">
      <alignment horizontal="center" vertical="center"/>
      <protection/>
    </xf>
    <xf numFmtId="3" fontId="42" fillId="45" borderId="10" xfId="0" applyNumberFormat="1" applyFont="1" applyFill="1" applyBorder="1" applyAlignment="1" applyProtection="1">
      <alignment horizontal="center" vertical="center"/>
      <protection/>
    </xf>
    <xf numFmtId="3" fontId="44" fillId="45" borderId="15" xfId="0" applyNumberFormat="1" applyFont="1" applyFill="1" applyBorder="1" applyAlignment="1" applyProtection="1">
      <alignment horizontal="center" vertical="center"/>
      <protection/>
    </xf>
    <xf numFmtId="0" fontId="44" fillId="45" borderId="15" xfId="0" applyFont="1" applyFill="1" applyBorder="1" applyAlignment="1" applyProtection="1">
      <alignment vertical="center"/>
      <protection/>
    </xf>
    <xf numFmtId="3" fontId="180" fillId="42" borderId="15" xfId="0" applyNumberFormat="1" applyFont="1" applyFill="1" applyBorder="1" applyAlignment="1" applyProtection="1">
      <alignment horizontal="center" vertical="center"/>
      <protection/>
    </xf>
    <xf numFmtId="3" fontId="81" fillId="42" borderId="15" xfId="0" applyNumberFormat="1" applyFont="1" applyFill="1" applyBorder="1" applyAlignment="1" applyProtection="1">
      <alignment horizontal="center" vertical="center"/>
      <protection/>
    </xf>
    <xf numFmtId="166" fontId="173" fillId="5" borderId="15" xfId="0" applyNumberFormat="1" applyFont="1" applyFill="1" applyBorder="1" applyAlignment="1">
      <alignment horizontal="center"/>
    </xf>
    <xf numFmtId="166" fontId="166" fillId="5" borderId="12" xfId="0" applyNumberFormat="1" applyFont="1" applyFill="1" applyBorder="1" applyAlignment="1">
      <alignment horizontal="center"/>
    </xf>
    <xf numFmtId="166" fontId="24" fillId="5" borderId="10" xfId="0" applyNumberFormat="1" applyFont="1" applyFill="1" applyBorder="1" applyAlignment="1">
      <alignment horizontal="center"/>
    </xf>
    <xf numFmtId="166" fontId="175" fillId="5" borderId="10" xfId="0" applyNumberFormat="1" applyFont="1" applyFill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175" fillId="5" borderId="15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165" fontId="3" fillId="42" borderId="10" xfId="0" applyNumberFormat="1" applyFont="1" applyFill="1" applyBorder="1" applyAlignment="1" applyProtection="1">
      <alignment horizontal="center" vertical="center"/>
      <protection locked="0"/>
    </xf>
    <xf numFmtId="3" fontId="170" fillId="42" borderId="10" xfId="0" applyNumberFormat="1" applyFont="1" applyFill="1" applyBorder="1" applyAlignment="1" applyProtection="1">
      <alignment horizontal="center" vertical="center"/>
      <protection locked="0"/>
    </xf>
    <xf numFmtId="170" fontId="3" fillId="18" borderId="1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0" borderId="0" xfId="0" applyFill="1" applyAlignment="1">
      <alignment horizontal="center"/>
    </xf>
    <xf numFmtId="0" fontId="79" fillId="0" borderId="10" xfId="0" applyFont="1" applyBorder="1" applyAlignment="1">
      <alignment horizontal="center" vertical="center" wrapText="1" shrinkToFit="1"/>
    </xf>
    <xf numFmtId="167" fontId="60" fillId="45" borderId="10" xfId="0" applyNumberFormat="1" applyFont="1" applyFill="1" applyBorder="1" applyAlignment="1" applyProtection="1">
      <alignment horizontal="center" vertical="center"/>
      <protection/>
    </xf>
    <xf numFmtId="167" fontId="40" fillId="45" borderId="10" xfId="0" applyNumberFormat="1" applyFont="1" applyFill="1" applyBorder="1" applyAlignment="1" applyProtection="1">
      <alignment horizontal="center" vertical="center"/>
      <protection/>
    </xf>
    <xf numFmtId="222" fontId="21" fillId="0" borderId="10" xfId="0" applyNumberFormat="1" applyFont="1" applyBorder="1" applyAlignment="1">
      <alignment horizontal="center"/>
    </xf>
    <xf numFmtId="3" fontId="165" fillId="42" borderId="10" xfId="0" applyNumberFormat="1" applyFont="1" applyFill="1" applyBorder="1" applyAlignment="1" applyProtection="1">
      <alignment horizontal="center" vertical="center"/>
      <protection locked="0"/>
    </xf>
    <xf numFmtId="168" fontId="171" fillId="5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181" fillId="0" borderId="12" xfId="0" applyFont="1" applyBorder="1" applyAlignment="1">
      <alignment horizontal="left" indent="7"/>
    </xf>
    <xf numFmtId="0" fontId="181" fillId="0" borderId="10" xfId="0" applyFont="1" applyBorder="1" applyAlignment="1">
      <alignment horizontal="center"/>
    </xf>
    <xf numFmtId="0" fontId="181" fillId="0" borderId="12" xfId="0" applyFont="1" applyBorder="1" applyAlignment="1">
      <alignment horizontal="center"/>
    </xf>
    <xf numFmtId="166" fontId="181" fillId="0" borderId="12" xfId="0" applyNumberFormat="1" applyFont="1" applyBorder="1" applyAlignment="1">
      <alignment horizontal="center"/>
    </xf>
    <xf numFmtId="0" fontId="181" fillId="0" borderId="10" xfId="0" applyFont="1" applyBorder="1" applyAlignment="1">
      <alignment horizontal="left" indent="7"/>
    </xf>
    <xf numFmtId="0" fontId="60" fillId="50" borderId="12" xfId="0" applyFont="1" applyFill="1" applyBorder="1" applyAlignment="1">
      <alignment vertical="center"/>
    </xf>
    <xf numFmtId="0" fontId="178" fillId="3" borderId="12" xfId="0" applyFont="1" applyFill="1" applyBorder="1" applyAlignment="1">
      <alignment vertical="center"/>
    </xf>
    <xf numFmtId="0" fontId="53" fillId="46" borderId="30" xfId="0" applyFont="1" applyFill="1" applyBorder="1" applyAlignment="1">
      <alignment horizontal="center" vertical="center" wrapText="1"/>
    </xf>
    <xf numFmtId="0" fontId="53" fillId="46" borderId="0" xfId="0" applyFont="1" applyFill="1" applyBorder="1" applyAlignment="1">
      <alignment horizontal="center" vertical="center" wrapText="1"/>
    </xf>
    <xf numFmtId="0" fontId="67" fillId="46" borderId="0" xfId="0" applyFont="1" applyFill="1" applyAlignment="1">
      <alignment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53" fillId="51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72" fillId="0" borderId="30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80" fillId="0" borderId="30" xfId="47" applyFont="1" applyBorder="1" applyAlignment="1" applyProtection="1">
      <alignment vertical="center" wrapText="1"/>
      <protection/>
    </xf>
    <xf numFmtId="0" fontId="79" fillId="0" borderId="0" xfId="0" applyFont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normiertes p-V-Diagramm  mit p/p</a:t>
            </a:r>
            <a:r>
              <a:rPr lang="en-US" cap="none" sz="1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ReMax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V/V</a:t>
            </a:r>
            <a:r>
              <a:rPr lang="en-US" cap="none" sz="1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ReMax</a:t>
            </a:r>
          </a:p>
        </c:rich>
      </c:tx>
      <c:layout>
        <c:manualLayout>
          <c:xMode val="factor"/>
          <c:yMode val="factor"/>
          <c:x val="0.00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6575"/>
          <c:w val="0.88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Calc!$R$3</c:f>
              <c:strCache>
                <c:ptCount val="1"/>
                <c:pt idx="0">
                  <c:v>Schmidt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Calc!$R$5:$R$365</c:f>
              <c:numCache>
                <c:ptCount val="361"/>
                <c:pt idx="0">
                  <c:v>0.48748357674254517</c:v>
                </c:pt>
                <c:pt idx="1">
                  <c:v>0.483969612257692</c:v>
                </c:pt>
                <c:pt idx="2">
                  <c:v>0.4805185899140364</c:v>
                </c:pt>
                <c:pt idx="3">
                  <c:v>0.4771315609264149</c:v>
                </c:pt>
                <c:pt idx="4">
                  <c:v>0.4738095570166683</c:v>
                </c:pt>
                <c:pt idx="5">
                  <c:v>0.4705535900993682</c:v>
                </c:pt>
                <c:pt idx="6">
                  <c:v>0.46736465197357896</c:v>
                </c:pt>
                <c:pt idx="7">
                  <c:v>0.46424371402074566</c:v>
                </c:pt>
                <c:pt idx="8">
                  <c:v>0.46119172690880195</c:v>
                </c:pt>
                <c:pt idx="9">
                  <c:v>0.45820962030258733</c:v>
                </c:pt>
                <c:pt idx="10">
                  <c:v>0.4552983025806624</c:v>
                </c:pt>
                <c:pt idx="11">
                  <c:v>0.45245866055860784</c:v>
                </c:pt>
                <c:pt idx="12">
                  <c:v>0.44969155921889187</c:v>
                </c:pt>
                <c:pt idx="13">
                  <c:v>0.44699784144738797</c:v>
                </c:pt>
                <c:pt idx="14">
                  <c:v>0.44437832777662395</c:v>
                </c:pt>
                <c:pt idx="15">
                  <c:v>0.4418338161358397</c:v>
                </c:pt>
                <c:pt idx="16">
                  <c:v>0.4393650816079305</c:v>
                </c:pt>
                <c:pt idx="17">
                  <c:v>0.43697287619334846</c:v>
                </c:pt>
                <c:pt idx="18">
                  <c:v>0.4346579285810367</c:v>
                </c:pt>
                <c:pt idx="19">
                  <c:v>0.43242094392646346</c:v>
                </c:pt>
                <c:pt idx="20">
                  <c:v>0.4302626036368245</c:v>
                </c:pt>
                <c:pt idx="21">
                  <c:v>0.4281835651634805</c:v>
                </c:pt>
                <c:pt idx="22">
                  <c:v>0.4261844618016905</c:v>
                </c:pt>
                <c:pt idx="23">
                  <c:v>0.42426590249770424</c:v>
                </c:pt>
                <c:pt idx="24">
                  <c:v>0.4224284716632713</c:v>
                </c:pt>
                <c:pt idx="25">
                  <c:v>0.4206727289976233</c:v>
                </c:pt>
                <c:pt idx="26">
                  <c:v>0.4189992093169845</c:v>
                </c:pt>
                <c:pt idx="27">
                  <c:v>0.4174084223916614</c:v>
                </c:pt>
                <c:pt idx="28">
                  <c:v>0.4159008527907618</c:v>
                </c:pt>
                <c:pt idx="29">
                  <c:v>0.4144769597345901</c:v>
                </c:pt>
                <c:pt idx="30">
                  <c:v>0.413137176954765</c:v>
                </c:pt>
                <c:pt idx="31">
                  <c:v>0.4118819125621</c:v>
                </c:pt>
                <c:pt idx="32">
                  <c:v>0.41071154892228884</c:v>
                </c:pt>
                <c:pt idx="33">
                  <c:v>0.4096264425394341</c:v>
                </c:pt>
                <c:pt idx="34">
                  <c:v>0.4086269239474515</c:v>
                </c:pt>
                <c:pt idx="35">
                  <c:v>0.4077132976093867</c:v>
                </c:pt>
                <c:pt idx="36">
                  <c:v>0.4068858418246728</c:v>
                </c:pt>
                <c:pt idx="37">
                  <c:v>0.40614480864435754</c:v>
                </c:pt>
                <c:pt idx="38">
                  <c:v>0.4054904237943263</c:v>
                </c:pt>
                <c:pt idx="39">
                  <c:v>0.40492288660654346</c:v>
                </c:pt>
                <c:pt idx="40">
                  <c:v>0.4044423699583343</c:v>
                </c:pt>
                <c:pt idx="41">
                  <c:v>0.40404902021972483</c:v>
                </c:pt>
                <c:pt idx="42">
                  <c:v>0.4037429572088557</c:v>
                </c:pt>
                <c:pt idx="43">
                  <c:v>0.40352427415548514</c:v>
                </c:pt>
                <c:pt idx="44">
                  <c:v>0.40339303767258944</c:v>
                </c:pt>
                <c:pt idx="45">
                  <c:v>0.40334928773607276</c:v>
                </c:pt>
                <c:pt idx="46">
                  <c:v>0.40339303767258944</c:v>
                </c:pt>
                <c:pt idx="47">
                  <c:v>0.40352427415548514</c:v>
                </c:pt>
                <c:pt idx="48">
                  <c:v>0.4037429572088557</c:v>
                </c:pt>
                <c:pt idx="49">
                  <c:v>0.4040490202197248</c:v>
                </c:pt>
                <c:pt idx="50">
                  <c:v>0.4044423699583343</c:v>
                </c:pt>
                <c:pt idx="51">
                  <c:v>0.40492288660654346</c:v>
                </c:pt>
                <c:pt idx="52">
                  <c:v>0.40549042379432626</c:v>
                </c:pt>
                <c:pt idx="53">
                  <c:v>0.40614480864435754</c:v>
                </c:pt>
                <c:pt idx="54">
                  <c:v>0.4068858418246727</c:v>
                </c:pt>
                <c:pt idx="55">
                  <c:v>0.4077132976093866</c:v>
                </c:pt>
                <c:pt idx="56">
                  <c:v>0.4086269239474515</c:v>
                </c:pt>
                <c:pt idx="57">
                  <c:v>0.409626442539434</c:v>
                </c:pt>
                <c:pt idx="58">
                  <c:v>0.4107115489222889</c:v>
                </c:pt>
                <c:pt idx="59">
                  <c:v>0.4118819125620999</c:v>
                </c:pt>
                <c:pt idx="60">
                  <c:v>0.413137176954765</c:v>
                </c:pt>
                <c:pt idx="61">
                  <c:v>0.4144769597345901</c:v>
                </c:pt>
                <c:pt idx="62">
                  <c:v>0.41590085279076167</c:v>
                </c:pt>
                <c:pt idx="63">
                  <c:v>0.4174084223916614</c:v>
                </c:pt>
                <c:pt idx="64">
                  <c:v>0.4189992093169845</c:v>
                </c:pt>
                <c:pt idx="65">
                  <c:v>0.4206727289976233</c:v>
                </c:pt>
                <c:pt idx="66">
                  <c:v>0.4224284716632713</c:v>
                </c:pt>
                <c:pt idx="67">
                  <c:v>0.42426590249770424</c:v>
                </c:pt>
                <c:pt idx="68">
                  <c:v>0.4261844618016905</c:v>
                </c:pt>
                <c:pt idx="69">
                  <c:v>0.4281835651634805</c:v>
                </c:pt>
                <c:pt idx="70">
                  <c:v>0.4302626036368245</c:v>
                </c:pt>
                <c:pt idx="71">
                  <c:v>0.43242094392646335</c:v>
                </c:pt>
                <c:pt idx="72">
                  <c:v>0.4346579285810366</c:v>
                </c:pt>
                <c:pt idx="73">
                  <c:v>0.43697287619334846</c:v>
                </c:pt>
                <c:pt idx="74">
                  <c:v>0.4393650816079305</c:v>
                </c:pt>
                <c:pt idx="75">
                  <c:v>0.44183381613583983</c:v>
                </c:pt>
                <c:pt idx="76">
                  <c:v>0.44437832777662395</c:v>
                </c:pt>
                <c:pt idx="77">
                  <c:v>0.44699784144738797</c:v>
                </c:pt>
                <c:pt idx="78">
                  <c:v>0.44969155921889176</c:v>
                </c:pt>
                <c:pt idx="79">
                  <c:v>0.45245866055860784</c:v>
                </c:pt>
                <c:pt idx="80">
                  <c:v>0.45529830258066234</c:v>
                </c:pt>
                <c:pt idx="81">
                  <c:v>0.4582096203025872</c:v>
                </c:pt>
                <c:pt idx="82">
                  <c:v>0.46119172690880195</c:v>
                </c:pt>
                <c:pt idx="83">
                  <c:v>0.46424371402074566</c:v>
                </c:pt>
                <c:pt idx="84">
                  <c:v>0.46736465197357896</c:v>
                </c:pt>
                <c:pt idx="85">
                  <c:v>0.4705535900993682</c:v>
                </c:pt>
                <c:pt idx="86">
                  <c:v>0.4738095570166682</c:v>
                </c:pt>
                <c:pt idx="87">
                  <c:v>0.4771315609264149</c:v>
                </c:pt>
                <c:pt idx="88">
                  <c:v>0.4805185899140364</c:v>
                </c:pt>
                <c:pt idx="89">
                  <c:v>0.483969612257692</c:v>
                </c:pt>
                <c:pt idx="90">
                  <c:v>0.4874835767425451</c:v>
                </c:pt>
                <c:pt idx="91">
                  <c:v>0.4910594129809733</c:v>
                </c:pt>
                <c:pt idx="92">
                  <c:v>0.49469603173861804</c:v>
                </c:pt>
                <c:pt idx="93">
                  <c:v>0.49839232526617744</c:v>
                </c:pt>
                <c:pt idx="94">
                  <c:v>0.502147167636836</c:v>
                </c:pt>
                <c:pt idx="95">
                  <c:v>0.5059594150892335</c:v>
                </c:pt>
                <c:pt idx="96">
                  <c:v>0.5098279063758662</c:v>
                </c:pt>
                <c:pt idx="97">
                  <c:v>0.5137514631168131</c:v>
                </c:pt>
                <c:pt idx="98">
                  <c:v>0.5177288901586824</c:v>
                </c:pt>
                <c:pt idx="99">
                  <c:v>0.5217589759386672</c:v>
                </c:pt>
                <c:pt idx="100">
                  <c:v>0.5258404928535985</c:v>
                </c:pt>
                <c:pt idx="101">
                  <c:v>0.5299721976338856</c:v>
                </c:pt>
                <c:pt idx="102">
                  <c:v>0.5341528317222275</c:v>
                </c:pt>
                <c:pt idx="103">
                  <c:v>0.5383811216569823</c:v>
                </c:pt>
                <c:pt idx="104">
                  <c:v>0.5426557794600755</c:v>
                </c:pt>
                <c:pt idx="105">
                  <c:v>0.5469755030293306</c:v>
                </c:pt>
                <c:pt idx="106">
                  <c:v>0.5513389765351024</c:v>
                </c:pt>
                <c:pt idx="107">
                  <c:v>0.5557448708210914</c:v>
                </c:pt>
                <c:pt idx="108">
                  <c:v>0.5601918438092167</c:v>
                </c:pt>
                <c:pt idx="109">
                  <c:v>0.5646785409084276</c:v>
                </c:pt>
                <c:pt idx="110">
                  <c:v>0.5692035954273242</c:v>
                </c:pt>
                <c:pt idx="111">
                  <c:v>0.5737656289904648</c:v>
                </c:pt>
                <c:pt idx="112">
                  <c:v>0.5783632519582323</c:v>
                </c:pt>
                <c:pt idx="113">
                  <c:v>0.5829950638501331</c:v>
                </c:pt>
                <c:pt idx="114">
                  <c:v>0.5876596537713952</c:v>
                </c:pt>
                <c:pt idx="115">
                  <c:v>0.5923556008427416</c:v>
                </c:pt>
                <c:pt idx="116">
                  <c:v>0.597081474633204</c:v>
                </c:pt>
                <c:pt idx="117">
                  <c:v>0.6018358355958452</c:v>
                </c:pt>
                <c:pt idx="118">
                  <c:v>0.6066172355062592</c:v>
                </c:pt>
                <c:pt idx="119">
                  <c:v>0.6114242179037152</c:v>
                </c:pt>
                <c:pt idx="120">
                  <c:v>0.6162553185348083</c:v>
                </c:pt>
                <c:pt idx="121">
                  <c:v>0.6211090657994867</c:v>
                </c:pt>
                <c:pt idx="122">
                  <c:v>0.6259839811993139</c:v>
                </c:pt>
                <c:pt idx="123">
                  <c:v>0.630878579787835</c:v>
                </c:pt>
                <c:pt idx="124">
                  <c:v>0.6357913706229047</c:v>
                </c:pt>
                <c:pt idx="125">
                  <c:v>0.6407208572208436</c:v>
                </c:pt>
                <c:pt idx="126">
                  <c:v>0.6456655380122808</c:v>
                </c:pt>
                <c:pt idx="127">
                  <c:v>0.6506239067995472</c:v>
                </c:pt>
                <c:pt idx="128">
                  <c:v>0.6555944532154772</c:v>
                </c:pt>
                <c:pt idx="129">
                  <c:v>0.6605756631834817</c:v>
                </c:pt>
                <c:pt idx="130">
                  <c:v>0.6655660193787506</c:v>
                </c:pt>
                <c:pt idx="131">
                  <c:v>0.6705640016904441</c:v>
                </c:pt>
                <c:pt idx="132">
                  <c:v>0.6755680876847334</c:v>
                </c:pt>
                <c:pt idx="133">
                  <c:v>0.680576753068549</c:v>
                </c:pt>
                <c:pt idx="134">
                  <c:v>0.6855884721538951</c:v>
                </c:pt>
                <c:pt idx="135">
                  <c:v>0.6906017183225884</c:v>
                </c:pt>
                <c:pt idx="136">
                  <c:v>0.695614964491282</c:v>
                </c:pt>
                <c:pt idx="137">
                  <c:v>0.7006266835766279</c:v>
                </c:pt>
                <c:pt idx="138">
                  <c:v>0.7056353489604437</c:v>
                </c:pt>
                <c:pt idx="139">
                  <c:v>0.710639434954733</c:v>
                </c:pt>
                <c:pt idx="140">
                  <c:v>0.7156374172664264</c:v>
                </c:pt>
                <c:pt idx="141">
                  <c:v>0.7206277734616953</c:v>
                </c:pt>
                <c:pt idx="142">
                  <c:v>0.7256089834296998</c:v>
                </c:pt>
                <c:pt idx="143">
                  <c:v>0.7305795298456298</c:v>
                </c:pt>
                <c:pt idx="144">
                  <c:v>0.7355378986328962</c:v>
                </c:pt>
                <c:pt idx="145">
                  <c:v>0.7404825794243334</c:v>
                </c:pt>
                <c:pt idx="146">
                  <c:v>0.7454120660222723</c:v>
                </c:pt>
                <c:pt idx="147">
                  <c:v>0.7503248568573421</c:v>
                </c:pt>
                <c:pt idx="148">
                  <c:v>0.7552194554458631</c:v>
                </c:pt>
                <c:pt idx="149">
                  <c:v>0.7600943708456903</c:v>
                </c:pt>
                <c:pt idx="150">
                  <c:v>0.7649481181103687</c:v>
                </c:pt>
                <c:pt idx="151">
                  <c:v>0.7697792187414618</c:v>
                </c:pt>
                <c:pt idx="152">
                  <c:v>0.7745862011389177</c:v>
                </c:pt>
                <c:pt idx="153">
                  <c:v>0.7793676010493318</c:v>
                </c:pt>
                <c:pt idx="154">
                  <c:v>0.7841219620119729</c:v>
                </c:pt>
                <c:pt idx="155">
                  <c:v>0.7888478358024354</c:v>
                </c:pt>
                <c:pt idx="156">
                  <c:v>0.7935437828737817</c:v>
                </c:pt>
                <c:pt idx="157">
                  <c:v>0.7982083727950439</c:v>
                </c:pt>
                <c:pt idx="158">
                  <c:v>0.8028401846869445</c:v>
                </c:pt>
                <c:pt idx="159">
                  <c:v>0.8074378076547121</c:v>
                </c:pt>
                <c:pt idx="160">
                  <c:v>0.8119998412178526</c:v>
                </c:pt>
                <c:pt idx="161">
                  <c:v>0.8165248957367492</c:v>
                </c:pt>
                <c:pt idx="162">
                  <c:v>0.8210115928359603</c:v>
                </c:pt>
                <c:pt idx="163">
                  <c:v>0.8254585658240856</c:v>
                </c:pt>
                <c:pt idx="164">
                  <c:v>0.8298644601100744</c:v>
                </c:pt>
                <c:pt idx="165">
                  <c:v>0.8342279336158464</c:v>
                </c:pt>
                <c:pt idx="166">
                  <c:v>0.8385476571851015</c:v>
                </c:pt>
                <c:pt idx="167">
                  <c:v>0.8428223149881946</c:v>
                </c:pt>
                <c:pt idx="168">
                  <c:v>0.8470506049229495</c:v>
                </c:pt>
                <c:pt idx="169">
                  <c:v>0.8512312390112913</c:v>
                </c:pt>
                <c:pt idx="170">
                  <c:v>0.8553629437915783</c:v>
                </c:pt>
                <c:pt idx="171">
                  <c:v>0.8594444607065096</c:v>
                </c:pt>
                <c:pt idx="172">
                  <c:v>0.8634745464864946</c:v>
                </c:pt>
                <c:pt idx="173">
                  <c:v>0.867451973528364</c:v>
                </c:pt>
                <c:pt idx="174">
                  <c:v>0.8713755302693107</c:v>
                </c:pt>
                <c:pt idx="175">
                  <c:v>0.8752440215559434</c:v>
                </c:pt>
                <c:pt idx="176">
                  <c:v>0.879056269008341</c:v>
                </c:pt>
                <c:pt idx="177">
                  <c:v>0.8828111113789994</c:v>
                </c:pt>
                <c:pt idx="178">
                  <c:v>0.8865074049065588</c:v>
                </c:pt>
                <c:pt idx="179">
                  <c:v>0.8901440236642036</c:v>
                </c:pt>
                <c:pt idx="180">
                  <c:v>0.8937198599026317</c:v>
                </c:pt>
                <c:pt idx="181">
                  <c:v>0.8972338243874849</c:v>
                </c:pt>
                <c:pt idx="182">
                  <c:v>0.9006848467311405</c:v>
                </c:pt>
                <c:pt idx="183">
                  <c:v>0.904071875718762</c:v>
                </c:pt>
                <c:pt idx="184">
                  <c:v>0.9073938796285087</c:v>
                </c:pt>
                <c:pt idx="185">
                  <c:v>0.9106498465458088</c:v>
                </c:pt>
                <c:pt idx="186">
                  <c:v>0.9138387846715978</c:v>
                </c:pt>
                <c:pt idx="187">
                  <c:v>0.9169597226244314</c:v>
                </c:pt>
                <c:pt idx="188">
                  <c:v>0.9200117097363749</c:v>
                </c:pt>
                <c:pt idx="189">
                  <c:v>0.9229938163425897</c:v>
                </c:pt>
                <c:pt idx="190">
                  <c:v>0.9259051340645146</c:v>
                </c:pt>
                <c:pt idx="191">
                  <c:v>0.928744776086569</c:v>
                </c:pt>
                <c:pt idx="192">
                  <c:v>0.9315118774262852</c:v>
                </c:pt>
                <c:pt idx="193">
                  <c:v>0.9342055951977891</c:v>
                </c:pt>
                <c:pt idx="194">
                  <c:v>0.9368251088685531</c:v>
                </c:pt>
                <c:pt idx="195">
                  <c:v>0.9393696205093371</c:v>
                </c:pt>
                <c:pt idx="196">
                  <c:v>0.9418383550372464</c:v>
                </c:pt>
                <c:pt idx="197">
                  <c:v>0.9442305604518285</c:v>
                </c:pt>
                <c:pt idx="198">
                  <c:v>0.9465455080641403</c:v>
                </c:pt>
                <c:pt idx="199">
                  <c:v>0.9487824927187134</c:v>
                </c:pt>
                <c:pt idx="200">
                  <c:v>0.9509408330083525</c:v>
                </c:pt>
                <c:pt idx="201">
                  <c:v>0.9530198714816964</c:v>
                </c:pt>
                <c:pt idx="202">
                  <c:v>0.9550189748434863</c:v>
                </c:pt>
                <c:pt idx="203">
                  <c:v>0.9569375341474727</c:v>
                </c:pt>
                <c:pt idx="204">
                  <c:v>0.9587749649819056</c:v>
                </c:pt>
                <c:pt idx="205">
                  <c:v>0.9605307076475535</c:v>
                </c:pt>
                <c:pt idx="206">
                  <c:v>0.9622042273281924</c:v>
                </c:pt>
                <c:pt idx="207">
                  <c:v>0.9637950142535155</c:v>
                </c:pt>
                <c:pt idx="208">
                  <c:v>0.9653025838544153</c:v>
                </c:pt>
                <c:pt idx="209">
                  <c:v>0.9667264769105868</c:v>
                </c:pt>
                <c:pt idx="210">
                  <c:v>0.9680662596904118</c:v>
                </c:pt>
                <c:pt idx="211">
                  <c:v>0.969321524083077</c:v>
                </c:pt>
                <c:pt idx="212">
                  <c:v>0.9704918877228882</c:v>
                </c:pt>
                <c:pt idx="213">
                  <c:v>0.9715769941057429</c:v>
                </c:pt>
                <c:pt idx="214">
                  <c:v>0.9725765126977255</c:v>
                </c:pt>
                <c:pt idx="215">
                  <c:v>0.9734901390357903</c:v>
                </c:pt>
                <c:pt idx="216">
                  <c:v>0.9743175948205042</c:v>
                </c:pt>
                <c:pt idx="217">
                  <c:v>0.9750586280008194</c:v>
                </c:pt>
                <c:pt idx="218">
                  <c:v>0.9757130128508505</c:v>
                </c:pt>
                <c:pt idx="219">
                  <c:v>0.9762805500386335</c:v>
                </c:pt>
                <c:pt idx="220">
                  <c:v>0.9767610666868425</c:v>
                </c:pt>
                <c:pt idx="221">
                  <c:v>0.9771544164254521</c:v>
                </c:pt>
                <c:pt idx="222">
                  <c:v>0.9774604794363212</c:v>
                </c:pt>
                <c:pt idx="223">
                  <c:v>0.9776791624896918</c:v>
                </c:pt>
                <c:pt idx="224">
                  <c:v>0.9778103989725876</c:v>
                </c:pt>
                <c:pt idx="225">
                  <c:v>0.9778541489091042</c:v>
                </c:pt>
                <c:pt idx="226">
                  <c:v>0.9778103989725876</c:v>
                </c:pt>
                <c:pt idx="227">
                  <c:v>0.9776791624896918</c:v>
                </c:pt>
                <c:pt idx="228">
                  <c:v>0.9774604794363212</c:v>
                </c:pt>
                <c:pt idx="229">
                  <c:v>0.9771544164254521</c:v>
                </c:pt>
                <c:pt idx="230">
                  <c:v>0.9767610666868426</c:v>
                </c:pt>
                <c:pt idx="231">
                  <c:v>0.9762805500386336</c:v>
                </c:pt>
                <c:pt idx="232">
                  <c:v>0.9757130128508505</c:v>
                </c:pt>
                <c:pt idx="233">
                  <c:v>0.9750586280008194</c:v>
                </c:pt>
                <c:pt idx="234">
                  <c:v>0.9743175948205042</c:v>
                </c:pt>
                <c:pt idx="235">
                  <c:v>0.9734901390357903</c:v>
                </c:pt>
                <c:pt idx="236">
                  <c:v>0.9725765126977255</c:v>
                </c:pt>
                <c:pt idx="237">
                  <c:v>0.9715769941057429</c:v>
                </c:pt>
                <c:pt idx="238">
                  <c:v>0.9704918877228882</c:v>
                </c:pt>
                <c:pt idx="239">
                  <c:v>0.969321524083077</c:v>
                </c:pt>
                <c:pt idx="240">
                  <c:v>0.9680662596904122</c:v>
                </c:pt>
                <c:pt idx="241">
                  <c:v>0.9667264769105868</c:v>
                </c:pt>
                <c:pt idx="242">
                  <c:v>0.9653025838544153</c:v>
                </c:pt>
                <c:pt idx="243">
                  <c:v>0.9637950142535155</c:v>
                </c:pt>
                <c:pt idx="244">
                  <c:v>0.9622042273281926</c:v>
                </c:pt>
                <c:pt idx="245">
                  <c:v>0.9605307076475535</c:v>
                </c:pt>
                <c:pt idx="246">
                  <c:v>0.9587749649819056</c:v>
                </c:pt>
                <c:pt idx="247">
                  <c:v>0.9569375341474727</c:v>
                </c:pt>
                <c:pt idx="248">
                  <c:v>0.9550189748434865</c:v>
                </c:pt>
                <c:pt idx="249">
                  <c:v>0.9530198714816965</c:v>
                </c:pt>
                <c:pt idx="250">
                  <c:v>0.9509408330083525</c:v>
                </c:pt>
                <c:pt idx="251">
                  <c:v>0.9487824927187134</c:v>
                </c:pt>
                <c:pt idx="252">
                  <c:v>0.9465455080641403</c:v>
                </c:pt>
                <c:pt idx="253">
                  <c:v>0.9442305604518287</c:v>
                </c:pt>
                <c:pt idx="254">
                  <c:v>0.9418383550372464</c:v>
                </c:pt>
                <c:pt idx="255">
                  <c:v>0.9393696205093371</c:v>
                </c:pt>
                <c:pt idx="256">
                  <c:v>0.9368251088685531</c:v>
                </c:pt>
                <c:pt idx="257">
                  <c:v>0.9342055951977891</c:v>
                </c:pt>
                <c:pt idx="258">
                  <c:v>0.9315118774262852</c:v>
                </c:pt>
                <c:pt idx="259">
                  <c:v>0.928744776086569</c:v>
                </c:pt>
                <c:pt idx="260">
                  <c:v>0.9259051340645146</c:v>
                </c:pt>
                <c:pt idx="261">
                  <c:v>0.9229938163425897</c:v>
                </c:pt>
                <c:pt idx="262">
                  <c:v>0.9200117097363751</c:v>
                </c:pt>
                <c:pt idx="263">
                  <c:v>0.9169597226244312</c:v>
                </c:pt>
                <c:pt idx="264">
                  <c:v>0.9138387846715978</c:v>
                </c:pt>
                <c:pt idx="265">
                  <c:v>0.9106498465458088</c:v>
                </c:pt>
                <c:pt idx="266">
                  <c:v>0.9073938796285087</c:v>
                </c:pt>
                <c:pt idx="267">
                  <c:v>0.904071875718762</c:v>
                </c:pt>
                <c:pt idx="268">
                  <c:v>0.9006848467311405</c:v>
                </c:pt>
                <c:pt idx="269">
                  <c:v>0.8972338243874849</c:v>
                </c:pt>
                <c:pt idx="270">
                  <c:v>0.8937198599026317</c:v>
                </c:pt>
                <c:pt idx="271">
                  <c:v>0.8901440236642038</c:v>
                </c:pt>
                <c:pt idx="272">
                  <c:v>0.8865074049065588</c:v>
                </c:pt>
                <c:pt idx="273">
                  <c:v>0.8828111113789994</c:v>
                </c:pt>
                <c:pt idx="274">
                  <c:v>0.879056269008341</c:v>
                </c:pt>
                <c:pt idx="275">
                  <c:v>0.8752440215559434</c:v>
                </c:pt>
                <c:pt idx="276">
                  <c:v>0.8713755302693109</c:v>
                </c:pt>
                <c:pt idx="277">
                  <c:v>0.867451973528364</c:v>
                </c:pt>
                <c:pt idx="278">
                  <c:v>0.8634745464864946</c:v>
                </c:pt>
                <c:pt idx="279">
                  <c:v>0.8594444607065098</c:v>
                </c:pt>
                <c:pt idx="280">
                  <c:v>0.8553629437915784</c:v>
                </c:pt>
                <c:pt idx="281">
                  <c:v>0.8512312390112913</c:v>
                </c:pt>
                <c:pt idx="282">
                  <c:v>0.8470506049229495</c:v>
                </c:pt>
                <c:pt idx="283">
                  <c:v>0.8428223149881946</c:v>
                </c:pt>
                <c:pt idx="284">
                  <c:v>0.8385476571851015</c:v>
                </c:pt>
                <c:pt idx="285">
                  <c:v>0.8342279336158465</c:v>
                </c:pt>
                <c:pt idx="286">
                  <c:v>0.8298644601100744</c:v>
                </c:pt>
                <c:pt idx="287">
                  <c:v>0.8254585658240856</c:v>
                </c:pt>
                <c:pt idx="288">
                  <c:v>0.8210115928359603</c:v>
                </c:pt>
                <c:pt idx="289">
                  <c:v>0.8165248957367492</c:v>
                </c:pt>
                <c:pt idx="290">
                  <c:v>0.8119998412178526</c:v>
                </c:pt>
                <c:pt idx="291">
                  <c:v>0.8074378076547121</c:v>
                </c:pt>
                <c:pt idx="292">
                  <c:v>0.8028401846869445</c:v>
                </c:pt>
                <c:pt idx="293">
                  <c:v>0.7982083727950439</c:v>
                </c:pt>
                <c:pt idx="294">
                  <c:v>0.7935437828737819</c:v>
                </c:pt>
                <c:pt idx="295">
                  <c:v>0.7888478358024354</c:v>
                </c:pt>
                <c:pt idx="296">
                  <c:v>0.7841219620119728</c:v>
                </c:pt>
                <c:pt idx="297">
                  <c:v>0.7793676010493319</c:v>
                </c:pt>
                <c:pt idx="298">
                  <c:v>0.7745862011389179</c:v>
                </c:pt>
                <c:pt idx="299">
                  <c:v>0.7697792187414618</c:v>
                </c:pt>
                <c:pt idx="300">
                  <c:v>0.7649481181103687</c:v>
                </c:pt>
                <c:pt idx="301">
                  <c:v>0.7600943708456903</c:v>
                </c:pt>
                <c:pt idx="302">
                  <c:v>0.7552194554458632</c:v>
                </c:pt>
                <c:pt idx="303">
                  <c:v>0.7503248568573422</c:v>
                </c:pt>
                <c:pt idx="304">
                  <c:v>0.7454120660222723</c:v>
                </c:pt>
                <c:pt idx="305">
                  <c:v>0.7404825794243334</c:v>
                </c:pt>
                <c:pt idx="306">
                  <c:v>0.7355378986328963</c:v>
                </c:pt>
                <c:pt idx="307">
                  <c:v>0.7305795298456299</c:v>
                </c:pt>
                <c:pt idx="308">
                  <c:v>0.7256089834296999</c:v>
                </c:pt>
                <c:pt idx="309">
                  <c:v>0.7206277734616953</c:v>
                </c:pt>
                <c:pt idx="310">
                  <c:v>0.7156374172664264</c:v>
                </c:pt>
                <c:pt idx="311">
                  <c:v>0.7106394349547331</c:v>
                </c:pt>
                <c:pt idx="312">
                  <c:v>0.7056353489604438</c:v>
                </c:pt>
                <c:pt idx="313">
                  <c:v>0.7006266835766279</c:v>
                </c:pt>
                <c:pt idx="314">
                  <c:v>0.695614964491282</c:v>
                </c:pt>
                <c:pt idx="315">
                  <c:v>0.6906017183225885</c:v>
                </c:pt>
                <c:pt idx="316">
                  <c:v>0.6855884721538951</c:v>
                </c:pt>
                <c:pt idx="317">
                  <c:v>0.680576753068549</c:v>
                </c:pt>
                <c:pt idx="318">
                  <c:v>0.6755680876847334</c:v>
                </c:pt>
                <c:pt idx="319">
                  <c:v>0.6705640016904441</c:v>
                </c:pt>
                <c:pt idx="320">
                  <c:v>0.6655660193787507</c:v>
                </c:pt>
                <c:pt idx="321">
                  <c:v>0.6605756631834818</c:v>
                </c:pt>
                <c:pt idx="322">
                  <c:v>0.6555944532154772</c:v>
                </c:pt>
                <c:pt idx="323">
                  <c:v>0.6506239067995473</c:v>
                </c:pt>
                <c:pt idx="324">
                  <c:v>0.6456655380122809</c:v>
                </c:pt>
                <c:pt idx="325">
                  <c:v>0.6407208572208437</c:v>
                </c:pt>
                <c:pt idx="326">
                  <c:v>0.6357913706229047</c:v>
                </c:pt>
                <c:pt idx="327">
                  <c:v>0.630878579787835</c:v>
                </c:pt>
                <c:pt idx="328">
                  <c:v>0.625983981199314</c:v>
                </c:pt>
                <c:pt idx="329">
                  <c:v>0.6211090657994868</c:v>
                </c:pt>
                <c:pt idx="330">
                  <c:v>0.6162553185348086</c:v>
                </c:pt>
                <c:pt idx="331">
                  <c:v>0.6114242179037152</c:v>
                </c:pt>
                <c:pt idx="332">
                  <c:v>0.6066172355062593</c:v>
                </c:pt>
                <c:pt idx="333">
                  <c:v>0.6018358355958452</c:v>
                </c:pt>
                <c:pt idx="334">
                  <c:v>0.5970814746332042</c:v>
                </c:pt>
                <c:pt idx="335">
                  <c:v>0.5923556008427416</c:v>
                </c:pt>
                <c:pt idx="336">
                  <c:v>0.5876596537713952</c:v>
                </c:pt>
                <c:pt idx="337">
                  <c:v>0.5829950638501332</c:v>
                </c:pt>
                <c:pt idx="338">
                  <c:v>0.5783632519582326</c:v>
                </c:pt>
                <c:pt idx="339">
                  <c:v>0.5737656289904649</c:v>
                </c:pt>
                <c:pt idx="340">
                  <c:v>0.5692035954273242</c:v>
                </c:pt>
                <c:pt idx="341">
                  <c:v>0.5646785409084277</c:v>
                </c:pt>
                <c:pt idx="342">
                  <c:v>0.5601918438092167</c:v>
                </c:pt>
                <c:pt idx="343">
                  <c:v>0.5557448708210915</c:v>
                </c:pt>
                <c:pt idx="344">
                  <c:v>0.5513389765351024</c:v>
                </c:pt>
                <c:pt idx="345">
                  <c:v>0.5469755030293306</c:v>
                </c:pt>
                <c:pt idx="346">
                  <c:v>0.5426557794600755</c:v>
                </c:pt>
                <c:pt idx="347">
                  <c:v>0.5383811216569825</c:v>
                </c:pt>
                <c:pt idx="348">
                  <c:v>0.5341528317222276</c:v>
                </c:pt>
                <c:pt idx="349">
                  <c:v>0.5299721976338856</c:v>
                </c:pt>
                <c:pt idx="350">
                  <c:v>0.5258404928535986</c:v>
                </c:pt>
                <c:pt idx="351">
                  <c:v>0.5217589759386673</c:v>
                </c:pt>
                <c:pt idx="352">
                  <c:v>0.5177288901586825</c:v>
                </c:pt>
                <c:pt idx="353">
                  <c:v>0.513751463116813</c:v>
                </c:pt>
                <c:pt idx="354">
                  <c:v>0.5098279063758662</c:v>
                </c:pt>
                <c:pt idx="355">
                  <c:v>0.5059594150892335</c:v>
                </c:pt>
                <c:pt idx="356">
                  <c:v>0.502147167636836</c:v>
                </c:pt>
                <c:pt idx="357">
                  <c:v>0.4983923252661775</c:v>
                </c:pt>
                <c:pt idx="358">
                  <c:v>0.4946960317386179</c:v>
                </c:pt>
                <c:pt idx="359">
                  <c:v>0.4910594129809733</c:v>
                </c:pt>
                <c:pt idx="360">
                  <c:v>0.48748357674254517</c:v>
                </c:pt>
              </c:numCache>
            </c:numRef>
          </c:xVal>
          <c:yVal>
            <c:numRef>
              <c:f>Calc!$T$5:$T$365</c:f>
              <c:numCache>
                <c:ptCount val="361"/>
                <c:pt idx="0">
                  <c:v>0.6181331761168034</c:v>
                </c:pt>
                <c:pt idx="1">
                  <c:v>0.6243559782331444</c:v>
                </c:pt>
                <c:pt idx="2">
                  <c:v>0.6306644218574458</c:v>
                </c:pt>
                <c:pt idx="3">
                  <c:v>0.6370579082374638</c:v>
                </c:pt>
                <c:pt idx="4">
                  <c:v>0.643535712440481</c:v>
                </c:pt>
                <c:pt idx="5">
                  <c:v>0.6500969759854356</c:v>
                </c:pt>
                <c:pt idx="6">
                  <c:v>0.6567406992746253</c:v>
                </c:pt>
                <c:pt idx="7">
                  <c:v>0.6634657338382611</c:v>
                </c:pt>
                <c:pt idx="8">
                  <c:v>0.6702707744077376</c:v>
                </c:pt>
                <c:pt idx="9">
                  <c:v>0.6771543508362836</c:v>
                </c:pt>
                <c:pt idx="10">
                  <c:v>0.684114819888666</c:v>
                </c:pt>
                <c:pt idx="11">
                  <c:v>0.691150356924845</c:v>
                </c:pt>
                <c:pt idx="12">
                  <c:v>0.6982589475058966</c:v>
                </c:pt>
                <c:pt idx="13">
                  <c:v>0.7054383789541508</c:v>
                </c:pt>
                <c:pt idx="14">
                  <c:v>0.7126862319033263</c:v>
                </c:pt>
                <c:pt idx="15">
                  <c:v>0.7199998718784285</c:v>
                </c:pt>
                <c:pt idx="16">
                  <c:v>0.7273764409493663</c:v>
                </c:pt>
                <c:pt idx="17">
                  <c:v>0.7348128495065419</c:v>
                </c:pt>
                <c:pt idx="18">
                  <c:v>0.742305768211103</c:v>
                </c:pt>
                <c:pt idx="19">
                  <c:v>0.7498516201770604</c:v>
                </c:pt>
                <c:pt idx="20">
                  <c:v>0.7574465734470349</c:v>
                </c:pt>
                <c:pt idx="21">
                  <c:v>0.7650865338279523</c:v>
                </c:pt>
                <c:pt idx="22">
                  <c:v>0.772767138157532</c:v>
                </c:pt>
                <c:pt idx="23">
                  <c:v>0.7804837480768041</c:v>
                </c:pt>
                <c:pt idx="24">
                  <c:v>0.7882314443881338</c:v>
                </c:pt>
                <c:pt idx="25">
                  <c:v>0.7960050220822105</c:v>
                </c:pt>
                <c:pt idx="26">
                  <c:v>0.8037989861211255</c:v>
                </c:pt>
                <c:pt idx="27">
                  <c:v>0.811607548067909</c:v>
                </c:pt>
                <c:pt idx="28">
                  <c:v>0.819424623655642</c:v>
                </c:pt>
                <c:pt idx="29">
                  <c:v>0.8272438313914106</c:v>
                </c:pt>
                <c:pt idx="30">
                  <c:v>0.8350584922917977</c:v>
                </c:pt>
                <c:pt idx="31">
                  <c:v>0.8428616308472462</c:v>
                </c:pt>
                <c:pt idx="32">
                  <c:v>0.8506459773123308</c:v>
                </c:pt>
                <c:pt idx="33">
                  <c:v>0.8584039714176579</c:v>
                </c:pt>
                <c:pt idx="34">
                  <c:v>0.8661277675966614</c:v>
                </c:pt>
                <c:pt idx="35">
                  <c:v>0.8738092418168657</c:v>
                </c:pt>
                <c:pt idx="36">
                  <c:v>0.8814400001001677</c:v>
                </c:pt>
                <c:pt idx="37">
                  <c:v>0.8890113888102351</c:v>
                </c:pt>
                <c:pt idx="38">
                  <c:v>0.8965145067771834</c:v>
                </c:pt>
                <c:pt idx="39">
                  <c:v>0.9039402193201893</c:v>
                </c:pt>
                <c:pt idx="40">
                  <c:v>0.9112791742176145</c:v>
                </c:pt>
                <c:pt idx="41">
                  <c:v>0.9185218196615043</c:v>
                </c:pt>
                <c:pt idx="42">
                  <c:v>0.9256584242190239</c:v>
                </c:pt>
                <c:pt idx="43">
                  <c:v>0.9326790988075198</c:v>
                </c:pt>
                <c:pt idx="44">
                  <c:v>0.9395738206725222</c:v>
                </c:pt>
                <c:pt idx="45">
                  <c:v>0.9463324593392364</c:v>
                </c:pt>
                <c:pt idx="46">
                  <c:v>0.9529448044880446</c:v>
                </c:pt>
                <c:pt idx="47">
                  <c:v>0.9594005956834304</c:v>
                </c:pt>
                <c:pt idx="48">
                  <c:v>0.9656895538637584</c:v>
                </c:pt>
                <c:pt idx="49">
                  <c:v>0.9718014144767365</c:v>
                </c:pt>
                <c:pt idx="50">
                  <c:v>0.9777259621224546</c:v>
                </c:pt>
                <c:pt idx="51">
                  <c:v>0.9834530665429296</c:v>
                </c:pt>
                <c:pt idx="52">
                  <c:v>0.9889727197744653</c:v>
                </c:pt>
                <c:pt idx="53">
                  <c:v>0.9942750742571925</c:v>
                </c:pt>
                <c:pt idx="54">
                  <c:v>0.9993504816753189</c:v>
                </c:pt>
                <c:pt idx="55">
                  <c:v>1.0041895322822596</c:v>
                </c:pt>
                <c:pt idx="56">
                  <c:v>1.0087830944473366</c:v>
                </c:pt>
                <c:pt idx="57">
                  <c:v>1.0131223541455734</c:v>
                </c:pt>
                <c:pt idx="58">
                  <c:v>1.017198854099563</c:v>
                </c:pt>
                <c:pt idx="59">
                  <c:v>1.021004532272905</c:v>
                </c:pt>
                <c:pt idx="60">
                  <c:v>1.0245317594085412</c:v>
                </c:pt>
                <c:pt idx="61">
                  <c:v>1.0277733753027398</c:v>
                </c:pt>
                <c:pt idx="62">
                  <c:v>1.0307227235067828</c:v>
                </c:pt>
                <c:pt idx="63">
                  <c:v>1.0333736841536354</c:v>
                </c:pt>
                <c:pt idx="64">
                  <c:v>1.0357207046162038</c:v>
                </c:pt>
                <c:pt idx="65">
                  <c:v>1.037758827717171</c:v>
                </c:pt>
                <c:pt idx="66">
                  <c:v>1.0394837172277953</c:v>
                </c:pt>
                <c:pt idx="67">
                  <c:v>1.0408916804142871</c:v>
                </c:pt>
                <c:pt idx="68">
                  <c:v>1.0419796874152332</c:v>
                </c:pt>
                <c:pt idx="69">
                  <c:v>1.042745387261691</c:v>
                </c:pt>
                <c:pt idx="70">
                  <c:v>1.0431871203826466</c:v>
                </c:pt>
                <c:pt idx="71">
                  <c:v>1.043303927472062</c:v>
                </c:pt>
                <c:pt idx="72">
                  <c:v>1.0430955546292449</c:v>
                </c:pt>
                <c:pt idx="73">
                  <c:v>1.0425624547211725</c:v>
                </c:pt>
                <c:pt idx="74">
                  <c:v>1.04170578495313</c:v>
                </c:pt>
                <c:pt idx="75">
                  <c:v>1.0405274006719787</c:v>
                </c:pt>
                <c:pt idx="76">
                  <c:v>1.0390298454639204</c:v>
                </c:pt>
                <c:pt idx="77">
                  <c:v>1.037216337645198</c:v>
                </c:pt>
                <c:pt idx="78">
                  <c:v>1.0350907532791618</c:v>
                </c:pt>
                <c:pt idx="79">
                  <c:v>1.0326576058860388</c:v>
                </c:pt>
                <c:pt idx="80">
                  <c:v>1.029922023042017</c:v>
                </c:pt>
                <c:pt idx="81">
                  <c:v>1.026889720091528</c:v>
                </c:pt>
                <c:pt idx="82">
                  <c:v>1.0235669712204667</c:v>
                </c:pt>
                <c:pt idx="83">
                  <c:v>1.0199605781582612</c:v>
                </c:pt>
                <c:pt idx="84">
                  <c:v>1.0160778367929815</c:v>
                </c:pt>
                <c:pt idx="85">
                  <c:v>1.0119265019959187</c:v>
                </c:pt>
                <c:pt idx="86">
                  <c:v>1.0075147509602373</c:v>
                </c:pt>
                <c:pt idx="87">
                  <c:v>1.002851145362417</c:v>
                </c:pt>
                <c:pt idx="88">
                  <c:v>0.9979445926553693</c:v>
                </c:pt>
                <c:pt idx="89">
                  <c:v>0.992804306798539</c:v>
                </c:pt>
                <c:pt idx="90">
                  <c:v>0.9874397687231335</c:v>
                </c:pt>
                <c:pt idx="91">
                  <c:v>0.9818606868202601</c:v>
                </c:pt>
                <c:pt idx="92">
                  <c:v>0.9760769577264364</c:v>
                </c:pt>
                <c:pt idx="93">
                  <c:v>0.9700986276650689</c:v>
                </c:pt>
                <c:pt idx="94">
                  <c:v>0.963935854584451</c:v>
                </c:pt>
                <c:pt idx="95">
                  <c:v>0.9575988713130191</c:v>
                </c:pt>
                <c:pt idx="96">
                  <c:v>0.9510979499314147</c:v>
                </c:pt>
                <c:pt idx="97">
                  <c:v>0.9444433675387202</c:v>
                </c:pt>
                <c:pt idx="98">
                  <c:v>0.9376453735674989</c:v>
                </c:pt>
                <c:pt idx="99">
                  <c:v>0.930714158779263</c:v>
                </c:pt>
                <c:pt idx="100">
                  <c:v>0.9236598260491324</c:v>
                </c:pt>
                <c:pt idx="101">
                  <c:v>0.9164923630259838</c:v>
                </c:pt>
                <c:pt idx="102">
                  <c:v>0.9092216167326398</c:v>
                </c:pt>
                <c:pt idx="103">
                  <c:v>0.9018572701498156</c:v>
                </c:pt>
                <c:pt idx="104">
                  <c:v>0.8944088208078543</c:v>
                </c:pt>
                <c:pt idx="105">
                  <c:v>0.8868855613918998</c:v>
                </c:pt>
                <c:pt idx="106">
                  <c:v>0.8792965623491918</c:v>
                </c:pt>
                <c:pt idx="107">
                  <c:v>0.8716506564717299</c:v>
                </c:pt>
                <c:pt idx="108">
                  <c:v>0.8639564254137057</c:v>
                </c:pt>
                <c:pt idx="109">
                  <c:v>0.8562221880908352</c:v>
                </c:pt>
                <c:pt idx="110">
                  <c:v>0.8484559908981072</c:v>
                </c:pt>
                <c:pt idx="111">
                  <c:v>0.8406655996733902</c:v>
                </c:pt>
                <c:pt idx="112">
                  <c:v>0.8328584933268316</c:v>
                </c:pt>
                <c:pt idx="113">
                  <c:v>0.8250418590499512</c:v>
                </c:pt>
                <c:pt idx="114">
                  <c:v>0.8172225890136801</c:v>
                </c:pt>
                <c:pt idx="115">
                  <c:v>0.8094072784612654</c:v>
                </c:pt>
                <c:pt idx="116">
                  <c:v>0.8016022250998446</c:v>
                </c:pt>
                <c:pt idx="117">
                  <c:v>0.7938134296934655</c:v>
                </c:pt>
                <c:pt idx="118">
                  <c:v>0.78604659776031</c:v>
                </c:pt>
                <c:pt idx="119">
                  <c:v>0.7783071422777531</c:v>
                </c:pt>
                <c:pt idx="120">
                  <c:v>0.7706001873005264</c:v>
                </c:pt>
                <c:pt idx="121">
                  <c:v>0.7629305723995887</c:v>
                </c:pt>
                <c:pt idx="122">
                  <c:v>0.7553028578322016</c:v>
                </c:pt>
                <c:pt idx="123">
                  <c:v>0.7477213303570773</c:v>
                </c:pt>
                <c:pt idx="124">
                  <c:v>0.7401900096122364</c:v>
                </c:pt>
                <c:pt idx="125">
                  <c:v>0.732712654977267</c:v>
                </c:pt>
                <c:pt idx="126">
                  <c:v>0.7252927728459758</c:v>
                </c:pt>
                <c:pt idx="127">
                  <c:v>0.7179336242398487</c:v>
                </c:pt>
                <c:pt idx="128">
                  <c:v>0.7106382326972847</c:v>
                </c:pt>
                <c:pt idx="129">
                  <c:v>0.7034093923781232</c:v>
                </c:pt>
                <c:pt idx="130">
                  <c:v>0.6962496763275428</c:v>
                </c:pt>
                <c:pt idx="131">
                  <c:v>0.6891614448479002</c:v>
                </c:pt>
                <c:pt idx="132">
                  <c:v>0.6821468539314743</c:v>
                </c:pt>
                <c:pt idx="133">
                  <c:v>0.6752078637113655</c:v>
                </c:pt>
                <c:pt idx="134">
                  <c:v>0.6683462468919092</c:v>
                </c:pt>
                <c:pt idx="135">
                  <c:v>0.6615635971239354</c:v>
                </c:pt>
                <c:pt idx="136">
                  <c:v>0.6548613372939589</c:v>
                </c:pt>
                <c:pt idx="137">
                  <c:v>0.6482407276999718</c:v>
                </c:pt>
                <c:pt idx="138">
                  <c:v>0.6417028740898685</c:v>
                </c:pt>
                <c:pt idx="139">
                  <c:v>0.6352487355417001</c:v>
                </c:pt>
                <c:pt idx="140">
                  <c:v>0.6288791321679033</c:v>
                </c:pt>
                <c:pt idx="141">
                  <c:v>0.6225947526283837</c:v>
                </c:pt>
                <c:pt idx="142">
                  <c:v>0.6163961614398811</c:v>
                </c:pt>
                <c:pt idx="143">
                  <c:v>0.6102838060713562</c:v>
                </c:pt>
                <c:pt idx="144">
                  <c:v>0.6042580238172959</c:v>
                </c:pt>
                <c:pt idx="145">
                  <c:v>0.5983190484427588</c:v>
                </c:pt>
                <c:pt idx="146">
                  <c:v>0.5924670165957715</c:v>
                </c:pt>
                <c:pt idx="147">
                  <c:v>0.5867019739842558</c:v>
                </c:pt>
                <c:pt idx="148">
                  <c:v>0.5810238813161203</c:v>
                </c:pt>
                <c:pt idx="149">
                  <c:v>0.5754326200024086</c:v>
                </c:pt>
                <c:pt idx="150">
                  <c:v>0.5699279976245386</c:v>
                </c:pt>
                <c:pt idx="151">
                  <c:v>0.5645097531676652</c:v>
                </c:pt>
                <c:pt idx="152">
                  <c:v>0.5591775620230633</c:v>
                </c:pt>
                <c:pt idx="153">
                  <c:v>0.5539310407631979</c:v>
                </c:pt>
                <c:pt idx="154">
                  <c:v>0.548769751693784</c:v>
                </c:pt>
                <c:pt idx="155">
                  <c:v>0.5436932071877034</c:v>
                </c:pt>
                <c:pt idx="156">
                  <c:v>0.5387008738061003</c:v>
                </c:pt>
                <c:pt idx="157">
                  <c:v>0.5337921762123589</c:v>
                </c:pt>
                <c:pt idx="158">
                  <c:v>0.5289665008849774</c:v>
                </c:pt>
                <c:pt idx="159">
                  <c:v>0.5242231996355862</c:v>
                </c:pt>
                <c:pt idx="160">
                  <c:v>0.5195615929385426</c:v>
                </c:pt>
                <c:pt idx="161">
                  <c:v>0.5149809730786551</c:v>
                </c:pt>
                <c:pt idx="162">
                  <c:v>0.5104806071236735</c:v>
                </c:pt>
                <c:pt idx="163">
                  <c:v>0.5060597397282092</c:v>
                </c:pt>
                <c:pt idx="164">
                  <c:v>0.5017175957757541</c:v>
                </c:pt>
                <c:pt idx="165">
                  <c:v>0.4974533828654253</c:v>
                </c:pt>
                <c:pt idx="166">
                  <c:v>0.49326629365000135</c:v>
                </c:pt>
                <c:pt idx="167">
                  <c:v>0.48915550803173036</c:v>
                </c:pt>
                <c:pt idx="168">
                  <c:v>0.4851201952222703</c:v>
                </c:pt>
                <c:pt idx="169">
                  <c:v>0.48115951567300635</c:v>
                </c:pt>
                <c:pt idx="170">
                  <c:v>0.4772726228818374</c:v>
                </c:pt>
                <c:pt idx="171">
                  <c:v>0.47345866508237616</c:v>
                </c:pt>
                <c:pt idx="172">
                  <c:v>0.46971678682133444</c:v>
                </c:pt>
                <c:pt idx="173">
                  <c:v>0.46604613042970144</c:v>
                </c:pt>
                <c:pt idx="174">
                  <c:v>0.46244583739313566</c:v>
                </c:pt>
                <c:pt idx="175">
                  <c:v>0.45891504962681434</c:v>
                </c:pt>
                <c:pt idx="176">
                  <c:v>0.455452910659795</c:v>
                </c:pt>
                <c:pt idx="177">
                  <c:v>0.452058566733758</c:v>
                </c:pt>
                <c:pt idx="178">
                  <c:v>0.4487311678208133</c:v>
                </c:pt>
                <c:pt idx="179">
                  <c:v>0.44546986856486426</c:v>
                </c:pt>
                <c:pt idx="180">
                  <c:v>0.44227382915084085</c:v>
                </c:pt>
                <c:pt idx="181">
                  <c:v>0.4391422161059289</c:v>
                </c:pt>
                <c:pt idx="182">
                  <c:v>0.43607420303674566</c:v>
                </c:pt>
                <c:pt idx="183">
                  <c:v>0.43306897130623234</c:v>
                </c:pt>
                <c:pt idx="184">
                  <c:v>0.43012571065386584</c:v>
                </c:pt>
                <c:pt idx="185">
                  <c:v>0.427243619762624</c:v>
                </c:pt>
                <c:pt idx="186">
                  <c:v>0.42442190677597236</c:v>
                </c:pt>
                <c:pt idx="187">
                  <c:v>0.4216597897679886</c:v>
                </c:pt>
                <c:pt idx="188">
                  <c:v>0.41895649716958167</c:v>
                </c:pt>
                <c:pt idx="189">
                  <c:v>0.41631126815361924</c:v>
                </c:pt>
                <c:pt idx="190">
                  <c:v>0.41372335298163326</c:v>
                </c:pt>
                <c:pt idx="191">
                  <c:v>0.4111920133146365</c:v>
                </c:pt>
                <c:pt idx="192">
                  <c:v>0.4087165224904486</c:v>
                </c:pt>
                <c:pt idx="193">
                  <c:v>0.4062961657698092</c:v>
                </c:pt>
                <c:pt idx="194">
                  <c:v>0.4039302405534287</c:v>
                </c:pt>
                <c:pt idx="195">
                  <c:v>0.40161805657201377</c:v>
                </c:pt>
                <c:pt idx="196">
                  <c:v>0.3993589360511932</c:v>
                </c:pt>
                <c:pt idx="197">
                  <c:v>0.3971522138531629</c:v>
                </c:pt>
                <c:pt idx="198">
                  <c:v>0.39499723759676864</c:v>
                </c:pt>
                <c:pt idx="199">
                  <c:v>0.39289336775764666</c:v>
                </c:pt>
                <c:pt idx="200">
                  <c:v>0.3908399777499531</c:v>
                </c:pt>
                <c:pt idx="201">
                  <c:v>0.3888364539911208</c:v>
                </c:pt>
                <c:pt idx="202">
                  <c:v>0.38688219595100515</c:v>
                </c:pt>
                <c:pt idx="203">
                  <c:v>0.3849766161866952</c:v>
                </c:pt>
                <c:pt idx="204">
                  <c:v>0.38311914036419525</c:v>
                </c:pt>
                <c:pt idx="205">
                  <c:v>0.38130920726810924</c:v>
                </c:pt>
                <c:pt idx="206">
                  <c:v>0.3795462688003924</c:v>
                </c:pt>
                <c:pt idx="207">
                  <c:v>0.37782978996917044</c:v>
                </c:pt>
                <c:pt idx="208">
                  <c:v>0.3761592488685686</c:v>
                </c:pt>
                <c:pt idx="209">
                  <c:v>0.37453413665043045</c:v>
                </c:pt>
                <c:pt idx="210">
                  <c:v>0.37295395748875526</c:v>
                </c:pt>
                <c:pt idx="211">
                  <c:v>0.3714182285376336</c:v>
                </c:pt>
                <c:pt idx="212">
                  <c:v>0.3699264798834059</c:v>
                </c:pt>
                <c:pt idx="213">
                  <c:v>0.36847825449172855</c:v>
                </c:pt>
                <c:pt idx="214">
                  <c:v>0.367073108150188</c:v>
                </c:pt>
                <c:pt idx="215">
                  <c:v>0.3657106094070586</c:v>
                </c:pt>
                <c:pt idx="216">
                  <c:v>0.3643903395067669</c:v>
                </c:pt>
                <c:pt idx="217">
                  <c:v>0.3631118923225862</c:v>
                </c:pt>
                <c:pt idx="218">
                  <c:v>0.36187487428704984</c:v>
                </c:pt>
                <c:pt idx="219">
                  <c:v>0.3606789043205409</c:v>
                </c:pt>
                <c:pt idx="220">
                  <c:v>0.3595236137584887</c:v>
                </c:pt>
                <c:pt idx="221">
                  <c:v>0.35840864627756724</c:v>
                </c:pt>
                <c:pt idx="222">
                  <c:v>0.3573336578212699</c:v>
                </c:pt>
                <c:pt idx="223">
                  <c:v>0.35629831652520755</c:v>
                </c:pt>
                <c:pt idx="224">
                  <c:v>0.3553023026424521</c:v>
                </c:pt>
                <c:pt idx="225">
                  <c:v>0.3543453084692287</c:v>
                </c:pt>
                <c:pt idx="226">
                  <c:v>0.3534270382712341</c:v>
                </c:pt>
                <c:pt idx="227">
                  <c:v>0.35254720821084484</c:v>
                </c:pt>
                <c:pt idx="228">
                  <c:v>0.3517055462754547</c:v>
                </c:pt>
                <c:pt idx="229">
                  <c:v>0.3509017922071686</c:v>
                </c:pt>
                <c:pt idx="230">
                  <c:v>0.3501356974340595</c:v>
                </c:pt>
                <c:pt idx="231">
                  <c:v>0.3494070250031836</c:v>
                </c:pt>
                <c:pt idx="232">
                  <c:v>0.34871554951553146</c:v>
                </c:pt>
                <c:pt idx="233">
                  <c:v>0.3480610570630811</c:v>
                </c:pt>
                <c:pt idx="234">
                  <c:v>0.3474433451681068</c:v>
                </c:pt>
                <c:pt idx="235">
                  <c:v>0.3468622227248826</c:v>
                </c:pt>
                <c:pt idx="236">
                  <c:v>0.34631750994391297</c:v>
                </c:pt>
                <c:pt idx="237">
                  <c:v>0.3458090382988084</c:v>
                </c:pt>
                <c:pt idx="238">
                  <c:v>0.3453366504759151</c:v>
                </c:pt>
                <c:pt idx="239">
                  <c:v>0.34490020032680013</c:v>
                </c:pt>
                <c:pt idx="240">
                  <c:v>0.34449955282368266</c:v>
                </c:pt>
                <c:pt idx="241">
                  <c:v>0.3441345840178941</c:v>
                </c:pt>
                <c:pt idx="242">
                  <c:v>0.3438051810014427</c:v>
                </c:pt>
                <c:pt idx="243">
                  <c:v>0.34351124187174975</c:v>
                </c:pt>
                <c:pt idx="244">
                  <c:v>0.3432526756996179</c:v>
                </c:pt>
                <c:pt idx="245">
                  <c:v>0.3430294025004863</c:v>
                </c:pt>
                <c:pt idx="246">
                  <c:v>0.3428413532090178</c:v>
                </c:pt>
                <c:pt idx="247">
                  <c:v>0.3426884696570611</c:v>
                </c:pt>
                <c:pt idx="248">
                  <c:v>0.3425707045550217</c:v>
                </c:pt>
                <c:pt idx="249">
                  <c:v>0.34248802147667096</c:v>
                </c:pt>
                <c:pt idx="250">
                  <c:v>0.3424403948474173</c:v>
                </c:pt>
                <c:pt idx="251">
                  <c:v>0.3424278099360565</c:v>
                </c:pt>
                <c:pt idx="252">
                  <c:v>0.34245026285001495</c:v>
                </c:pt>
                <c:pt idx="253">
                  <c:v>0.3425077605340916</c:v>
                </c:pt>
                <c:pt idx="254">
                  <c:v>0.3426003207727018</c:v>
                </c:pt>
                <c:pt idx="255">
                  <c:v>0.3427279721956189</c:v>
                </c:pt>
                <c:pt idx="256">
                  <c:v>0.3428907542872051</c:v>
                </c:pt>
                <c:pt idx="257">
                  <c:v>0.3430887173991176</c:v>
                </c:pt>
                <c:pt idx="258">
                  <c:v>0.3433219227664701</c:v>
                </c:pt>
                <c:pt idx="259">
                  <c:v>0.34359044252742554</c:v>
                </c:pt>
                <c:pt idx="260">
                  <c:v>0.3438943597461876</c:v>
                </c:pt>
                <c:pt idx="261">
                  <c:v>0.3442337684393569</c:v>
                </c:pt>
                <c:pt idx="262">
                  <c:v>0.3446087736056061</c:v>
                </c:pt>
                <c:pt idx="263">
                  <c:v>0.34501949125862846</c:v>
                </c:pt>
                <c:pt idx="264">
                  <c:v>0.3454660484632998</c:v>
                </c:pt>
                <c:pt idx="265">
                  <c:v>0.3459485833749968</c:v>
                </c:pt>
                <c:pt idx="266">
                  <c:v>0.34646724528199696</c:v>
                </c:pt>
                <c:pt idx="267">
                  <c:v>0.3470221946508863</c:v>
                </c:pt>
                <c:pt idx="268">
                  <c:v>0.34761360317488776</c:v>
                </c:pt>
                <c:pt idx="269">
                  <c:v>0.3482416538250176</c:v>
                </c:pt>
                <c:pt idx="270">
                  <c:v>0.3489065409039662</c:v>
                </c:pt>
                <c:pt idx="271">
                  <c:v>0.34960847010259233</c:v>
                </c:pt>
                <c:pt idx="272">
                  <c:v>0.3503476585589064</c:v>
                </c:pt>
                <c:pt idx="273">
                  <c:v>0.35112433491941286</c:v>
                </c:pt>
                <c:pt idx="274">
                  <c:v>0.35193873940266446</c:v>
                </c:pt>
                <c:pt idx="275">
                  <c:v>0.35279112386487377</c:v>
                </c:pt>
                <c:pt idx="276">
                  <c:v>0.35368175186741224</c:v>
                </c:pt>
                <c:pt idx="277">
                  <c:v>0.35461089874601315</c:v>
                </c:pt>
                <c:pt idx="278">
                  <c:v>0.35557885168148184</c:v>
                </c:pt>
                <c:pt idx="279">
                  <c:v>0.3565859097716997</c:v>
                </c:pt>
                <c:pt idx="280">
                  <c:v>0.3576323841046919</c:v>
                </c:pt>
                <c:pt idx="281">
                  <c:v>0.3587185978325127</c:v>
                </c:pt>
                <c:pt idx="282">
                  <c:v>0.3598448862456801</c:v>
                </c:pt>
                <c:pt idx="283">
                  <c:v>0.36101159684787726</c:v>
                </c:pt>
                <c:pt idx="284">
                  <c:v>0.3622190894306098</c:v>
                </c:pt>
                <c:pt idx="285">
                  <c:v>0.3634677361474914</c:v>
                </c:pt>
                <c:pt idx="286">
                  <c:v>0.36475792158780335</c:v>
                </c:pt>
                <c:pt idx="287">
                  <c:v>0.36609004284894725</c:v>
                </c:pt>
                <c:pt idx="288">
                  <c:v>0.36746450960738636</c:v>
                </c:pt>
                <c:pt idx="289">
                  <c:v>0.3688817441876369</c:v>
                </c:pt>
                <c:pt idx="290">
                  <c:v>0.37034218162884514</c:v>
                </c:pt>
                <c:pt idx="291">
                  <c:v>0.3718462697484497</c:v>
                </c:pt>
                <c:pt idx="292">
                  <c:v>0.37339446920239583</c:v>
                </c:pt>
                <c:pt idx="293">
                  <c:v>0.37498725354133017</c:v>
                </c:pt>
                <c:pt idx="294">
                  <c:v>0.37662510926216664</c:v>
                </c:pt>
                <c:pt idx="295">
                  <c:v>0.37830853585437196</c:v>
                </c:pt>
                <c:pt idx="296">
                  <c:v>0.38003804584027473</c:v>
                </c:pt>
                <c:pt idx="297">
                  <c:v>0.38181416480865815</c:v>
                </c:pt>
                <c:pt idx="298">
                  <c:v>0.3836374314408429</c:v>
                </c:pt>
                <c:pt idx="299">
                  <c:v>0.3855083975284185</c:v>
                </c:pt>
                <c:pt idx="300">
                  <c:v>0.38742762798172364</c:v>
                </c:pt>
                <c:pt idx="301">
                  <c:v>0.3893957008281203</c:v>
                </c:pt>
                <c:pt idx="302">
                  <c:v>0.3914132071990406</c:v>
                </c:pt>
                <c:pt idx="303">
                  <c:v>0.3934807513047253</c:v>
                </c:pt>
                <c:pt idx="304">
                  <c:v>0.39559895039550064</c:v>
                </c:pt>
                <c:pt idx="305">
                  <c:v>0.39776843470836803</c:v>
                </c:pt>
                <c:pt idx="306">
                  <c:v>0.3999898473976091</c:v>
                </c:pt>
                <c:pt idx="307">
                  <c:v>0.40226384444802005</c:v>
                </c:pt>
                <c:pt idx="308">
                  <c:v>0.40459109456931325</c:v>
                </c:pt>
                <c:pt idx="309">
                  <c:v>0.40697227907012984</c:v>
                </c:pt>
                <c:pt idx="310">
                  <c:v>0.40940809171001713</c:v>
                </c:pt>
                <c:pt idx="311">
                  <c:v>0.4118992385276208</c:v>
                </c:pt>
                <c:pt idx="312">
                  <c:v>0.4144464376432491</c:v>
                </c:pt>
                <c:pt idx="313">
                  <c:v>0.4170504190338478</c:v>
                </c:pt>
                <c:pt idx="314">
                  <c:v>0.4197119242783189</c:v>
                </c:pt>
                <c:pt idx="315">
                  <c:v>0.4224317062709984</c:v>
                </c:pt>
                <c:pt idx="316">
                  <c:v>0.4252105289009808</c:v>
                </c:pt>
                <c:pt idx="317">
                  <c:v>0.42804916669485493</c:v>
                </c:pt>
                <c:pt idx="318">
                  <c:v>0.43094840442027904</c:v>
                </c:pt>
                <c:pt idx="319">
                  <c:v>0.43390903664768804</c:v>
                </c:pt>
                <c:pt idx="320">
                  <c:v>0.43693186726727723</c:v>
                </c:pt>
                <c:pt idx="321">
                  <c:v>0.44001770895826076</c:v>
                </c:pt>
                <c:pt idx="322">
                  <c:v>0.44316738260724936</c:v>
                </c:pt>
                <c:pt idx="323">
                  <c:v>0.44638171667242893</c:v>
                </c:pt>
                <c:pt idx="324">
                  <c:v>0.4496615464900624</c:v>
                </c:pt>
                <c:pt idx="325">
                  <c:v>0.45300771351966407</c:v>
                </c:pt>
                <c:pt idx="326">
                  <c:v>0.45642106452402564</c:v>
                </c:pt>
                <c:pt idx="327">
                  <c:v>0.45990245068009267</c:v>
                </c:pt>
                <c:pt idx="328">
                  <c:v>0.4634527266165174</c:v>
                </c:pt>
                <c:pt idx="329">
                  <c:v>0.4670727493735205</c:v>
                </c:pt>
                <c:pt idx="330">
                  <c:v>0.4707633772805167</c:v>
                </c:pt>
                <c:pt idx="331">
                  <c:v>0.4745254687467699</c:v>
                </c:pt>
                <c:pt idx="332">
                  <c:v>0.47835988096015486</c:v>
                </c:pt>
                <c:pt idx="333">
                  <c:v>0.48226746848891927</c:v>
                </c:pt>
                <c:pt idx="334">
                  <c:v>0.4862490817811514</c:v>
                </c:pt>
                <c:pt idx="335">
                  <c:v>0.4903055655564773</c:v>
                </c:pt>
                <c:pt idx="336">
                  <c:v>0.4944377570843366</c:v>
                </c:pt>
                <c:pt idx="337">
                  <c:v>0.4986464843430145</c:v>
                </c:pt>
                <c:pt idx="338">
                  <c:v>0.5029325640534406</c:v>
                </c:pt>
                <c:pt idx="339">
                  <c:v>0.5072967995816205</c:v>
                </c:pt>
                <c:pt idx="340">
                  <c:v>0.5117399787034228</c:v>
                </c:pt>
                <c:pt idx="341">
                  <c:v>0.5162628712253186</c:v>
                </c:pt>
                <c:pt idx="342">
                  <c:v>0.520866226454576</c:v>
                </c:pt>
                <c:pt idx="343">
                  <c:v>0.5255507705123172</c:v>
                </c:pt>
                <c:pt idx="344">
                  <c:v>0.5303172034827974</c:v>
                </c:pt>
                <c:pt idx="345">
                  <c:v>0.5351661963922376</c:v>
                </c:pt>
                <c:pt idx="346">
                  <c:v>0.5400983880105487</c:v>
                </c:pt>
                <c:pt idx="347">
                  <c:v>0.5451143814693287</c:v>
                </c:pt>
                <c:pt idx="348">
                  <c:v>0.5502147406896111</c:v>
                </c:pt>
                <c:pt idx="349">
                  <c:v>0.5553999866129767</c:v>
                </c:pt>
                <c:pt idx="350">
                  <c:v>0.5606705932298404</c:v>
                </c:pt>
                <c:pt idx="351">
                  <c:v>0.5660269833989817</c:v>
                </c:pt>
                <c:pt idx="352">
                  <c:v>0.5714695244527117</c:v>
                </c:pt>
                <c:pt idx="353">
                  <c:v>0.5769985235824753</c:v>
                </c:pt>
                <c:pt idx="354">
                  <c:v>0.5826142230001728</c:v>
                </c:pt>
                <c:pt idx="355">
                  <c:v>0.5883167948710653</c:v>
                </c:pt>
                <c:pt idx="356">
                  <c:v>0.5941063360148031</c:v>
                </c:pt>
                <c:pt idx="357">
                  <c:v>0.5999828623719111</c:v>
                </c:pt>
                <c:pt idx="358">
                  <c:v>0.6059463032339689</c:v>
                </c:pt>
                <c:pt idx="359">
                  <c:v>0.611996495236754</c:v>
                </c:pt>
                <c:pt idx="360">
                  <c:v>0.6181331761168033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Calc!$U$3</c:f>
              <c:strCache>
                <c:ptCount val="1"/>
                <c:pt idx="0">
                  <c:v>Realer Weg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Calc!$S$5:$S$365</c:f>
              <c:numCache>
                <c:ptCount val="361"/>
                <c:pt idx="0">
                  <c:v>0.5097634557740871</c:v>
                </c:pt>
                <c:pt idx="1">
                  <c:v>0.506249328017063</c:v>
                </c:pt>
                <c:pt idx="2">
                  <c:v>0.5027978166527709</c:v>
                </c:pt>
                <c:pt idx="3">
                  <c:v>0.49940997527979025</c:v>
                </c:pt>
                <c:pt idx="4">
                  <c:v>0.4960868395799335</c:v>
                </c:pt>
                <c:pt idx="5">
                  <c:v>0.4928294269846388</c:v>
                </c:pt>
                <c:pt idx="6">
                  <c:v>0.4896387363397969</c:v>
                </c:pt>
                <c:pt idx="7">
                  <c:v>0.48651574756923865</c:v>
                </c:pt>
                <c:pt idx="8">
                  <c:v>0.48346142133714065</c:v>
                </c:pt>
                <c:pt idx="9">
                  <c:v>0.4804766987096471</c:v>
                </c:pt>
                <c:pt idx="10">
                  <c:v>0.4775625008160354</c:v>
                </c:pt>
                <c:pt idx="11">
                  <c:v>0.47471972850978317</c:v>
                </c:pt>
                <c:pt idx="12">
                  <c:v>0.47194926202992743</c:v>
                </c:pt>
                <c:pt idx="13">
                  <c:v>0.4692519606631358</c:v>
                </c:pt>
                <c:pt idx="14">
                  <c:v>0.46662866240693035</c:v>
                </c:pt>
                <c:pt idx="15">
                  <c:v>0.4640801836345412</c:v>
                </c:pt>
                <c:pt idx="16">
                  <c:v>0.4616073187618768</c:v>
                </c:pt>
                <c:pt idx="17">
                  <c:v>0.45921083991713046</c:v>
                </c:pt>
                <c:pt idx="18">
                  <c:v>0.4568914966135527</c:v>
                </c:pt>
                <c:pt idx="19">
                  <c:v>0.45465001542594424</c:v>
                </c:pt>
                <c:pt idx="20">
                  <c:v>0.45248709967142686</c:v>
                </c:pt>
                <c:pt idx="21">
                  <c:v>0.45040342909507497</c:v>
                </c:pt>
                <c:pt idx="22">
                  <c:v>0.4483996595609871</c:v>
                </c:pt>
                <c:pt idx="23">
                  <c:v>0.4464764227493924</c:v>
                </c:pt>
                <c:pt idx="24">
                  <c:v>0.44463432586038576</c:v>
                </c:pt>
                <c:pt idx="25">
                  <c:v>0.4428739513248865</c:v>
                </c:pt>
                <c:pt idx="26">
                  <c:v>0.44119585652342075</c:v>
                </c:pt>
                <c:pt idx="27">
                  <c:v>0.43960057351331183</c:v>
                </c:pt>
                <c:pt idx="28">
                  <c:v>0.43808860876486927</c:v>
                </c:pt>
                <c:pt idx="29">
                  <c:v>0.43666044290714634</c:v>
                </c:pt>
                <c:pt idx="30">
                  <c:v>0.4353165304838343</c:v>
                </c:pt>
                <c:pt idx="31">
                  <c:v>0.4340572997198385</c:v>
                </c:pt>
                <c:pt idx="32">
                  <c:v>0.4328831522990682</c:v>
                </c:pt>
                <c:pt idx="33">
                  <c:v>0.43179446315395714</c:v>
                </c:pt>
                <c:pt idx="34">
                  <c:v>0.43079158026720216</c:v>
                </c:pt>
                <c:pt idx="35">
                  <c:v>0.4298748244861883</c:v>
                </c:pt>
                <c:pt idx="36">
                  <c:v>0.42904448935054385</c:v>
                </c:pt>
                <c:pt idx="37">
                  <c:v>0.4283008409332384</c:v>
                </c:pt>
                <c:pt idx="38">
                  <c:v>0.4276441176956085</c:v>
                </c:pt>
                <c:pt idx="39">
                  <c:v>0.4270745303566653</c:v>
                </c:pt>
                <c:pt idx="40">
                  <c:v>0.426592261777003</c:v>
                </c:pt>
                <c:pt idx="41">
                  <c:v>0.426197466857596</c:v>
                </c:pt>
                <c:pt idx="42">
                  <c:v>0.4258902724537345</c:v>
                </c:pt>
                <c:pt idx="43">
                  <c:v>0.4256707773043138</c:v>
                </c:pt>
                <c:pt idx="44">
                  <c:v>0.4255390519766503</c:v>
                </c:pt>
                <c:pt idx="45">
                  <c:v>0.4254951388269683</c:v>
                </c:pt>
                <c:pt idx="46">
                  <c:v>0.42553905197665043</c:v>
                </c:pt>
                <c:pt idx="47">
                  <c:v>0.4256707773043138</c:v>
                </c:pt>
                <c:pt idx="48">
                  <c:v>0.42589027245373456</c:v>
                </c:pt>
                <c:pt idx="49">
                  <c:v>0.4261974668575959</c:v>
                </c:pt>
                <c:pt idx="50">
                  <c:v>0.4265922617770031</c:v>
                </c:pt>
                <c:pt idx="51">
                  <c:v>0.4270745303566654</c:v>
                </c:pt>
                <c:pt idx="52">
                  <c:v>0.4276441176956085</c:v>
                </c:pt>
                <c:pt idx="53">
                  <c:v>0.4283008409332384</c:v>
                </c:pt>
                <c:pt idx="54">
                  <c:v>0.42904448935054385</c:v>
                </c:pt>
                <c:pt idx="55">
                  <c:v>0.4298748244861883</c:v>
                </c:pt>
                <c:pt idx="56">
                  <c:v>0.4307915802672021</c:v>
                </c:pt>
                <c:pt idx="57">
                  <c:v>0.43179446315395714</c:v>
                </c:pt>
                <c:pt idx="58">
                  <c:v>0.4328831522990682</c:v>
                </c:pt>
                <c:pt idx="59">
                  <c:v>0.4340572997198385</c:v>
                </c:pt>
                <c:pt idx="60">
                  <c:v>0.4353165304838344</c:v>
                </c:pt>
                <c:pt idx="61">
                  <c:v>0.43666044290714634</c:v>
                </c:pt>
                <c:pt idx="62">
                  <c:v>0.43808860876486927</c:v>
                </c:pt>
                <c:pt idx="63">
                  <c:v>0.43960057351331194</c:v>
                </c:pt>
                <c:pt idx="64">
                  <c:v>0.44119585652342064</c:v>
                </c:pt>
                <c:pt idx="65">
                  <c:v>0.44287395132488655</c:v>
                </c:pt>
                <c:pt idx="66">
                  <c:v>0.44463432586038565</c:v>
                </c:pt>
                <c:pt idx="67">
                  <c:v>0.4464764227493923</c:v>
                </c:pt>
                <c:pt idx="68">
                  <c:v>0.4483996595609871</c:v>
                </c:pt>
                <c:pt idx="69">
                  <c:v>0.45040342909507486</c:v>
                </c:pt>
                <c:pt idx="70">
                  <c:v>0.45248709967142686</c:v>
                </c:pt>
                <c:pt idx="71">
                  <c:v>0.45465001542594424</c:v>
                </c:pt>
                <c:pt idx="72">
                  <c:v>0.4568914966135527</c:v>
                </c:pt>
                <c:pt idx="73">
                  <c:v>0.45921083991713035</c:v>
                </c:pt>
                <c:pt idx="74">
                  <c:v>0.4616073187618769</c:v>
                </c:pt>
                <c:pt idx="75">
                  <c:v>0.4640801836345412</c:v>
                </c:pt>
                <c:pt idx="76">
                  <c:v>0.46662866240693035</c:v>
                </c:pt>
                <c:pt idx="77">
                  <c:v>0.4692519606631357</c:v>
                </c:pt>
                <c:pt idx="78">
                  <c:v>0.47194926202992743</c:v>
                </c:pt>
                <c:pt idx="79">
                  <c:v>0.47471972850978306</c:v>
                </c:pt>
                <c:pt idx="80">
                  <c:v>0.4775625008160354</c:v>
                </c:pt>
                <c:pt idx="81">
                  <c:v>0.4804766987096471</c:v>
                </c:pt>
                <c:pt idx="82">
                  <c:v>0.4834614213371406</c:v>
                </c:pt>
                <c:pt idx="83">
                  <c:v>0.48651574756923865</c:v>
                </c:pt>
                <c:pt idx="84">
                  <c:v>0.4896387363397969</c:v>
                </c:pt>
                <c:pt idx="85">
                  <c:v>0.49282942698463866</c:v>
                </c:pt>
                <c:pt idx="86">
                  <c:v>0.49608683957993355</c:v>
                </c:pt>
                <c:pt idx="87">
                  <c:v>0.49940997527979025</c:v>
                </c:pt>
                <c:pt idx="88">
                  <c:v>0.5027978166527708</c:v>
                </c:pt>
                <c:pt idx="89">
                  <c:v>0.506249328017063</c:v>
                </c:pt>
                <c:pt idx="90">
                  <c:v>0.5097634557740871</c:v>
                </c:pt>
                <c:pt idx="91">
                  <c:v>0.5133391287403442</c:v>
                </c:pt>
                <c:pt idx="92">
                  <c:v>0.5169752584773525</c:v>
                </c:pt>
                <c:pt idx="93">
                  <c:v>0.5206707396195528</c:v>
                </c:pt>
                <c:pt idx="94">
                  <c:v>0.5244244502001012</c:v>
                </c:pt>
                <c:pt idx="95">
                  <c:v>0.5282352519745039</c:v>
                </c:pt>
                <c:pt idx="96">
                  <c:v>0.5321019907420841</c:v>
                </c:pt>
                <c:pt idx="97">
                  <c:v>0.5360234966653059</c:v>
                </c:pt>
                <c:pt idx="98">
                  <c:v>0.5399985845870211</c:v>
                </c:pt>
                <c:pt idx="99">
                  <c:v>0.5440260543457269</c:v>
                </c:pt>
                <c:pt idx="100">
                  <c:v>0.5481046910889716</c:v>
                </c:pt>
                <c:pt idx="101">
                  <c:v>0.5522332655850608</c:v>
                </c:pt>
                <c:pt idx="102">
                  <c:v>0.5564105345332632</c:v>
                </c:pt>
                <c:pt idx="103">
                  <c:v>0.5606352408727301</c:v>
                </c:pt>
                <c:pt idx="104">
                  <c:v>0.5649061140903819</c:v>
                </c:pt>
                <c:pt idx="105">
                  <c:v>0.5692218705280321</c:v>
                </c:pt>
                <c:pt idx="106">
                  <c:v>0.5735812136890488</c:v>
                </c:pt>
                <c:pt idx="107">
                  <c:v>0.5779828345448733</c:v>
                </c:pt>
                <c:pt idx="108">
                  <c:v>0.5824254118417328</c:v>
                </c:pt>
                <c:pt idx="109">
                  <c:v>0.5869076124079086</c:v>
                </c:pt>
                <c:pt idx="110">
                  <c:v>0.5914280914619267</c:v>
                </c:pt>
                <c:pt idx="111">
                  <c:v>0.5959854929220592</c:v>
                </c:pt>
                <c:pt idx="112">
                  <c:v>0.6005784497175289</c:v>
                </c:pt>
                <c:pt idx="113">
                  <c:v>0.6052055841018211</c:v>
                </c:pt>
                <c:pt idx="114">
                  <c:v>0.6098655079685096</c:v>
                </c:pt>
                <c:pt idx="115">
                  <c:v>0.6145568231700049</c:v>
                </c:pt>
                <c:pt idx="116">
                  <c:v>0.6192781218396403</c:v>
                </c:pt>
                <c:pt idx="117">
                  <c:v>0.6240279867174956</c:v>
                </c:pt>
                <c:pt idx="118">
                  <c:v>0.6288049914803667</c:v>
                </c:pt>
                <c:pt idx="119">
                  <c:v>0.6336077010762713</c:v>
                </c:pt>
                <c:pt idx="120">
                  <c:v>0.6384346720638778</c:v>
                </c:pt>
                <c:pt idx="121">
                  <c:v>0.6432844529572253</c:v>
                </c:pt>
                <c:pt idx="122">
                  <c:v>0.6481555845760931</c:v>
                </c:pt>
                <c:pt idx="123">
                  <c:v>0.653046600402358</c:v>
                </c:pt>
                <c:pt idx="124">
                  <c:v>0.6579560269426554</c:v>
                </c:pt>
                <c:pt idx="125">
                  <c:v>0.6628823840976452</c:v>
                </c:pt>
                <c:pt idx="126">
                  <c:v>0.6678241855381518</c:v>
                </c:pt>
                <c:pt idx="127">
                  <c:v>0.672779939088428</c:v>
                </c:pt>
                <c:pt idx="128">
                  <c:v>0.6777481471167593</c:v>
                </c:pt>
                <c:pt idx="129">
                  <c:v>0.6827273069336036</c:v>
                </c:pt>
                <c:pt idx="130">
                  <c:v>0.6877159111974193</c:v>
                </c:pt>
                <c:pt idx="131">
                  <c:v>0.6927124483283152</c:v>
                </c:pt>
                <c:pt idx="132">
                  <c:v>0.6977154029296122</c:v>
                </c:pt>
                <c:pt idx="133">
                  <c:v>0.7027232562173777</c:v>
                </c:pt>
                <c:pt idx="134">
                  <c:v>0.7077344864579559</c:v>
                </c:pt>
                <c:pt idx="135">
                  <c:v>0.712747569413484</c:v>
                </c:pt>
                <c:pt idx="136">
                  <c:v>0.7177609787953428</c:v>
                </c:pt>
                <c:pt idx="137">
                  <c:v>0.7227731867254568</c:v>
                </c:pt>
                <c:pt idx="138">
                  <c:v>0.7277826642053224</c:v>
                </c:pt>
                <c:pt idx="139">
                  <c:v>0.7327878815926042</c:v>
                </c:pt>
                <c:pt idx="140">
                  <c:v>0.737787309085095</c:v>
                </c:pt>
                <c:pt idx="141">
                  <c:v>0.7427794172118172</c:v>
                </c:pt>
                <c:pt idx="142">
                  <c:v>0.7477626773309821</c:v>
                </c:pt>
                <c:pt idx="143">
                  <c:v>0.7527355621345106</c:v>
                </c:pt>
                <c:pt idx="144">
                  <c:v>0.7576965461587672</c:v>
                </c:pt>
                <c:pt idx="145">
                  <c:v>0.762644106301135</c:v>
                </c:pt>
                <c:pt idx="146">
                  <c:v>0.7675767223420229</c:v>
                </c:pt>
                <c:pt idx="147">
                  <c:v>0.7724928774718651</c:v>
                </c:pt>
                <c:pt idx="148">
                  <c:v>0.7773910588226424</c:v>
                </c:pt>
                <c:pt idx="149">
                  <c:v>0.782269758003429</c:v>
                </c:pt>
                <c:pt idx="150">
                  <c:v>0.7871274716394381</c:v>
                </c:pt>
                <c:pt idx="151">
                  <c:v>0.7919627019140179</c:v>
                </c:pt>
                <c:pt idx="152">
                  <c:v>0.7967739571130251</c:v>
                </c:pt>
                <c:pt idx="153">
                  <c:v>0.8015597521709822</c:v>
                </c:pt>
                <c:pt idx="154">
                  <c:v>0.8063186092184091</c:v>
                </c:pt>
                <c:pt idx="155">
                  <c:v>0.8110490581296985</c:v>
                </c:pt>
                <c:pt idx="156">
                  <c:v>0.8157496370708962</c:v>
                </c:pt>
                <c:pt idx="157">
                  <c:v>0.820418893046732</c:v>
                </c:pt>
                <c:pt idx="158">
                  <c:v>0.825055382446241</c:v>
                </c:pt>
                <c:pt idx="159">
                  <c:v>0.8296576715863067</c:v>
                </c:pt>
                <c:pt idx="160">
                  <c:v>0.834224337252455</c:v>
                </c:pt>
                <c:pt idx="161">
                  <c:v>0.8387539672362302</c:v>
                </c:pt>
                <c:pt idx="162">
                  <c:v>0.8432451608684762</c:v>
                </c:pt>
                <c:pt idx="163">
                  <c:v>0.8476965295478676</c:v>
                </c:pt>
                <c:pt idx="164">
                  <c:v>0.8521066972640208</c:v>
                </c:pt>
                <c:pt idx="165">
                  <c:v>0.8564743011145476</c:v>
                </c:pt>
                <c:pt idx="166">
                  <c:v>0.8607979918154077</c:v>
                </c:pt>
                <c:pt idx="167">
                  <c:v>0.8650764342039425</c:v>
                </c:pt>
                <c:pt idx="168">
                  <c:v>0.8693083077339849</c:v>
                </c:pt>
                <c:pt idx="169">
                  <c:v>0.8734923069624666</c:v>
                </c:pt>
                <c:pt idx="170">
                  <c:v>0.8776271420269515</c:v>
                </c:pt>
                <c:pt idx="171">
                  <c:v>0.8817115391135695</c:v>
                </c:pt>
                <c:pt idx="172">
                  <c:v>0.8857442409148333</c:v>
                </c:pt>
                <c:pt idx="173">
                  <c:v>0.8897240070768571</c:v>
                </c:pt>
                <c:pt idx="174">
                  <c:v>0.8936496146355286</c:v>
                </c:pt>
                <c:pt idx="175">
                  <c:v>0.897519858441214</c:v>
                </c:pt>
                <c:pt idx="176">
                  <c:v>0.9013335515716062</c:v>
                </c:pt>
                <c:pt idx="177">
                  <c:v>0.9050895257323747</c:v>
                </c:pt>
                <c:pt idx="178">
                  <c:v>0.9087866316452933</c:v>
                </c:pt>
                <c:pt idx="179">
                  <c:v>0.9124237394235747</c:v>
                </c:pt>
                <c:pt idx="180">
                  <c:v>0.9159997389341737</c:v>
                </c:pt>
                <c:pt idx="181">
                  <c:v>0.9195135401468557</c:v>
                </c:pt>
                <c:pt idx="182">
                  <c:v>0.9229640734698751</c:v>
                </c:pt>
                <c:pt idx="183">
                  <c:v>0.9263502900721373</c:v>
                </c:pt>
                <c:pt idx="184">
                  <c:v>0.9296711621917739</c:v>
                </c:pt>
                <c:pt idx="185">
                  <c:v>0.9329256834310793</c:v>
                </c:pt>
                <c:pt idx="186">
                  <c:v>0.9361128690378158</c:v>
                </c:pt>
                <c:pt idx="187">
                  <c:v>0.9392317561729243</c:v>
                </c:pt>
                <c:pt idx="188">
                  <c:v>0.9422814041647137</c:v>
                </c:pt>
                <c:pt idx="189">
                  <c:v>0.9452608947496492</c:v>
                </c:pt>
                <c:pt idx="190">
                  <c:v>0.9481693322998875</c:v>
                </c:pt>
                <c:pt idx="191">
                  <c:v>0.9510058440377445</c:v>
                </c:pt>
                <c:pt idx="192">
                  <c:v>0.9537695802373207</c:v>
                </c:pt>
                <c:pt idx="193">
                  <c:v>0.9564597144135368</c:v>
                </c:pt>
                <c:pt idx="194">
                  <c:v>0.9590754434988594</c:v>
                </c:pt>
                <c:pt idx="195">
                  <c:v>0.9616159880080385</c:v>
                </c:pt>
                <c:pt idx="196">
                  <c:v>0.9640805921911929</c:v>
                </c:pt>
                <c:pt idx="197">
                  <c:v>0.9664685241756105</c:v>
                </c:pt>
                <c:pt idx="198">
                  <c:v>0.9687790760966563</c:v>
                </c:pt>
                <c:pt idx="199">
                  <c:v>0.9710115642181943</c:v>
                </c:pt>
                <c:pt idx="200">
                  <c:v>0.9731653290429548</c:v>
                </c:pt>
                <c:pt idx="201">
                  <c:v>0.9752397354132908</c:v>
                </c:pt>
                <c:pt idx="202">
                  <c:v>0.977234172602783</c:v>
                </c:pt>
                <c:pt idx="203">
                  <c:v>0.9791480543991609</c:v>
                </c:pt>
                <c:pt idx="204">
                  <c:v>0.9809808191790201</c:v>
                </c:pt>
                <c:pt idx="205">
                  <c:v>0.9827319299748167</c:v>
                </c:pt>
                <c:pt idx="206">
                  <c:v>0.9844008745346287</c:v>
                </c:pt>
                <c:pt idx="207">
                  <c:v>0.9859871653751658</c:v>
                </c:pt>
                <c:pt idx="208">
                  <c:v>0.9874903398285226</c:v>
                </c:pt>
                <c:pt idx="209">
                  <c:v>0.9889099600831429</c:v>
                </c:pt>
                <c:pt idx="210">
                  <c:v>0.9902456132194815</c:v>
                </c:pt>
                <c:pt idx="211">
                  <c:v>0.9914969112408156</c:v>
                </c:pt>
                <c:pt idx="212">
                  <c:v>0.9926634910996673</c:v>
                </c:pt>
                <c:pt idx="213">
                  <c:v>0.993745014720266</c:v>
                </c:pt>
                <c:pt idx="214">
                  <c:v>0.9947411690174763</c:v>
                </c:pt>
                <c:pt idx="215">
                  <c:v>0.9956516659125919</c:v>
                </c:pt>
                <c:pt idx="216">
                  <c:v>0.9964762423463752</c:v>
                </c:pt>
                <c:pt idx="217">
                  <c:v>0.9972146602897003</c:v>
                </c:pt>
                <c:pt idx="218">
                  <c:v>0.9978667067521328</c:v>
                </c:pt>
                <c:pt idx="219">
                  <c:v>0.9984321937887553</c:v>
                </c:pt>
                <c:pt idx="220">
                  <c:v>0.9989109585055113</c:v>
                </c:pt>
                <c:pt idx="221">
                  <c:v>0.9993028630633233</c:v>
                </c:pt>
                <c:pt idx="222">
                  <c:v>0.9996077946812</c:v>
                </c:pt>
                <c:pt idx="223">
                  <c:v>0.9998256656385206</c:v>
                </c:pt>
                <c:pt idx="224">
                  <c:v>0.9999564132766483</c:v>
                </c:pt>
                <c:pt idx="225">
                  <c:v>1</c:v>
                </c:pt>
                <c:pt idx="226">
                  <c:v>0.9999564132766483</c:v>
                </c:pt>
                <c:pt idx="227">
                  <c:v>0.9998256656385206</c:v>
                </c:pt>
                <c:pt idx="228">
                  <c:v>0.9996077946812</c:v>
                </c:pt>
                <c:pt idx="229">
                  <c:v>0.9993028630633233</c:v>
                </c:pt>
                <c:pt idx="230">
                  <c:v>0.9989109585055113</c:v>
                </c:pt>
                <c:pt idx="231">
                  <c:v>0.9984321937887555</c:v>
                </c:pt>
                <c:pt idx="232">
                  <c:v>0.9978667067521328</c:v>
                </c:pt>
                <c:pt idx="233">
                  <c:v>0.9972146602897003</c:v>
                </c:pt>
                <c:pt idx="234">
                  <c:v>0.9964762423463752</c:v>
                </c:pt>
                <c:pt idx="235">
                  <c:v>0.9956516659125919</c:v>
                </c:pt>
                <c:pt idx="236">
                  <c:v>0.9947411690174761</c:v>
                </c:pt>
                <c:pt idx="237">
                  <c:v>0.993745014720266</c:v>
                </c:pt>
                <c:pt idx="238">
                  <c:v>0.9926634910996673</c:v>
                </c:pt>
                <c:pt idx="239">
                  <c:v>0.9914969112408156</c:v>
                </c:pt>
                <c:pt idx="240">
                  <c:v>0.9902456132194815</c:v>
                </c:pt>
                <c:pt idx="241">
                  <c:v>0.9889099600831428</c:v>
                </c:pt>
                <c:pt idx="242">
                  <c:v>0.9874903398285226</c:v>
                </c:pt>
                <c:pt idx="243">
                  <c:v>0.9859871653751661</c:v>
                </c:pt>
                <c:pt idx="244">
                  <c:v>0.9844008745346289</c:v>
                </c:pt>
                <c:pt idx="245">
                  <c:v>0.9827319299748167</c:v>
                </c:pt>
                <c:pt idx="246">
                  <c:v>0.9809808191790201</c:v>
                </c:pt>
                <c:pt idx="247">
                  <c:v>0.9791480543991609</c:v>
                </c:pt>
                <c:pt idx="248">
                  <c:v>0.977234172602783</c:v>
                </c:pt>
                <c:pt idx="249">
                  <c:v>0.9752397354132909</c:v>
                </c:pt>
                <c:pt idx="250">
                  <c:v>0.9731653290429548</c:v>
                </c:pt>
                <c:pt idx="251">
                  <c:v>0.9710115642181946</c:v>
                </c:pt>
                <c:pt idx="252">
                  <c:v>0.9687790760966564</c:v>
                </c:pt>
                <c:pt idx="253">
                  <c:v>0.9664685241756105</c:v>
                </c:pt>
                <c:pt idx="254">
                  <c:v>0.9640805921911929</c:v>
                </c:pt>
                <c:pt idx="255">
                  <c:v>0.9616159880080386</c:v>
                </c:pt>
                <c:pt idx="256">
                  <c:v>0.9590754434988594</c:v>
                </c:pt>
                <c:pt idx="257">
                  <c:v>0.9564597144135368</c:v>
                </c:pt>
                <c:pt idx="258">
                  <c:v>0.9537695802373207</c:v>
                </c:pt>
                <c:pt idx="259">
                  <c:v>0.9510058440377445</c:v>
                </c:pt>
                <c:pt idx="260">
                  <c:v>0.9481693322998875</c:v>
                </c:pt>
                <c:pt idx="261">
                  <c:v>0.9452608947496495</c:v>
                </c:pt>
                <c:pt idx="262">
                  <c:v>0.9422814041647138</c:v>
                </c:pt>
                <c:pt idx="263">
                  <c:v>0.9392317561729243</c:v>
                </c:pt>
                <c:pt idx="264">
                  <c:v>0.9361128690378158</c:v>
                </c:pt>
                <c:pt idx="265">
                  <c:v>0.9329256834310793</c:v>
                </c:pt>
                <c:pt idx="266">
                  <c:v>0.9296711621917739</c:v>
                </c:pt>
                <c:pt idx="267">
                  <c:v>0.9263502900721373</c:v>
                </c:pt>
                <c:pt idx="268">
                  <c:v>0.9229640734698749</c:v>
                </c:pt>
                <c:pt idx="269">
                  <c:v>0.9195135401468557</c:v>
                </c:pt>
                <c:pt idx="270">
                  <c:v>0.9159997389341739</c:v>
                </c:pt>
                <c:pt idx="271">
                  <c:v>0.9124237394235747</c:v>
                </c:pt>
                <c:pt idx="272">
                  <c:v>0.9087866316452933</c:v>
                </c:pt>
                <c:pt idx="273">
                  <c:v>0.9050895257323747</c:v>
                </c:pt>
                <c:pt idx="274">
                  <c:v>0.9013335515716063</c:v>
                </c:pt>
                <c:pt idx="275">
                  <c:v>0.897519858441214</c:v>
                </c:pt>
                <c:pt idx="276">
                  <c:v>0.8936496146355288</c:v>
                </c:pt>
                <c:pt idx="277">
                  <c:v>0.8897240070768571</c:v>
                </c:pt>
                <c:pt idx="278">
                  <c:v>0.8857442409148333</c:v>
                </c:pt>
                <c:pt idx="279">
                  <c:v>0.8817115391135696</c:v>
                </c:pt>
                <c:pt idx="280">
                  <c:v>0.8776271420269515</c:v>
                </c:pt>
                <c:pt idx="281">
                  <c:v>0.8734923069624666</c:v>
                </c:pt>
                <c:pt idx="282">
                  <c:v>0.8693083077339852</c:v>
                </c:pt>
                <c:pt idx="283">
                  <c:v>0.8650764342039425</c:v>
                </c:pt>
                <c:pt idx="284">
                  <c:v>0.860797991815408</c:v>
                </c:pt>
                <c:pt idx="285">
                  <c:v>0.8564743011145478</c:v>
                </c:pt>
                <c:pt idx="286">
                  <c:v>0.8521066972640208</c:v>
                </c:pt>
                <c:pt idx="287">
                  <c:v>0.8476965295478676</c:v>
                </c:pt>
                <c:pt idx="288">
                  <c:v>0.8432451608684762</c:v>
                </c:pt>
                <c:pt idx="289">
                  <c:v>0.8387539672362302</c:v>
                </c:pt>
                <c:pt idx="290">
                  <c:v>0.834224337252455</c:v>
                </c:pt>
                <c:pt idx="291">
                  <c:v>0.8296576715863067</c:v>
                </c:pt>
                <c:pt idx="292">
                  <c:v>0.825055382446241</c:v>
                </c:pt>
                <c:pt idx="293">
                  <c:v>0.8204188930467322</c:v>
                </c:pt>
                <c:pt idx="294">
                  <c:v>0.8157496370708964</c:v>
                </c:pt>
                <c:pt idx="295">
                  <c:v>0.8110490581296985</c:v>
                </c:pt>
                <c:pt idx="296">
                  <c:v>0.806318609218409</c:v>
                </c:pt>
                <c:pt idx="297">
                  <c:v>0.8015597521709822</c:v>
                </c:pt>
                <c:pt idx="298">
                  <c:v>0.7967739571130252</c:v>
                </c:pt>
                <c:pt idx="299">
                  <c:v>0.7919627019140179</c:v>
                </c:pt>
                <c:pt idx="300">
                  <c:v>0.7871274716394381</c:v>
                </c:pt>
                <c:pt idx="301">
                  <c:v>0.782269758003429</c:v>
                </c:pt>
                <c:pt idx="302">
                  <c:v>0.7773910588226425</c:v>
                </c:pt>
                <c:pt idx="303">
                  <c:v>0.7724928774718652</c:v>
                </c:pt>
                <c:pt idx="304">
                  <c:v>0.767576722342023</c:v>
                </c:pt>
                <c:pt idx="305">
                  <c:v>0.7626441063011351</c:v>
                </c:pt>
                <c:pt idx="306">
                  <c:v>0.7576965461587672</c:v>
                </c:pt>
                <c:pt idx="307">
                  <c:v>0.7527355621345108</c:v>
                </c:pt>
                <c:pt idx="308">
                  <c:v>0.7477626773309821</c:v>
                </c:pt>
                <c:pt idx="309">
                  <c:v>0.7427794172118172</c:v>
                </c:pt>
                <c:pt idx="310">
                  <c:v>0.737787309085095</c:v>
                </c:pt>
                <c:pt idx="311">
                  <c:v>0.7327878815926042</c:v>
                </c:pt>
                <c:pt idx="312">
                  <c:v>0.7277826642053226</c:v>
                </c:pt>
                <c:pt idx="313">
                  <c:v>0.7227731867254567</c:v>
                </c:pt>
                <c:pt idx="314">
                  <c:v>0.717760978795343</c:v>
                </c:pt>
                <c:pt idx="315">
                  <c:v>0.7127475694134843</c:v>
                </c:pt>
                <c:pt idx="316">
                  <c:v>0.707734486457956</c:v>
                </c:pt>
                <c:pt idx="317">
                  <c:v>0.7027232562173777</c:v>
                </c:pt>
                <c:pt idx="318">
                  <c:v>0.6977154029296121</c:v>
                </c:pt>
                <c:pt idx="319">
                  <c:v>0.6927124483283152</c:v>
                </c:pt>
                <c:pt idx="320">
                  <c:v>0.6877159111974194</c:v>
                </c:pt>
                <c:pt idx="321">
                  <c:v>0.6827273069336037</c:v>
                </c:pt>
                <c:pt idx="322">
                  <c:v>0.6777481471167593</c:v>
                </c:pt>
                <c:pt idx="323">
                  <c:v>0.672779939088428</c:v>
                </c:pt>
                <c:pt idx="324">
                  <c:v>0.667824185538152</c:v>
                </c:pt>
                <c:pt idx="325">
                  <c:v>0.6628823840976454</c:v>
                </c:pt>
                <c:pt idx="326">
                  <c:v>0.6579560269426554</c:v>
                </c:pt>
                <c:pt idx="327">
                  <c:v>0.6530466004023581</c:v>
                </c:pt>
                <c:pt idx="328">
                  <c:v>0.6481555845760932</c:v>
                </c:pt>
                <c:pt idx="329">
                  <c:v>0.6432844529572255</c:v>
                </c:pt>
                <c:pt idx="330">
                  <c:v>0.6384346720638779</c:v>
                </c:pt>
                <c:pt idx="331">
                  <c:v>0.6336077010762713</c:v>
                </c:pt>
                <c:pt idx="332">
                  <c:v>0.6288049914803668</c:v>
                </c:pt>
                <c:pt idx="333">
                  <c:v>0.6240279867174957</c:v>
                </c:pt>
                <c:pt idx="334">
                  <c:v>0.6192781218396405</c:v>
                </c:pt>
                <c:pt idx="335">
                  <c:v>0.6145568231700049</c:v>
                </c:pt>
                <c:pt idx="336">
                  <c:v>0.6098655079685096</c:v>
                </c:pt>
                <c:pt idx="337">
                  <c:v>0.6052055841018212</c:v>
                </c:pt>
                <c:pt idx="338">
                  <c:v>0.600578449717529</c:v>
                </c:pt>
                <c:pt idx="339">
                  <c:v>0.5959854929220594</c:v>
                </c:pt>
                <c:pt idx="340">
                  <c:v>0.5914280914619267</c:v>
                </c:pt>
                <c:pt idx="341">
                  <c:v>0.5869076124079086</c:v>
                </c:pt>
                <c:pt idx="342">
                  <c:v>0.5824254118417328</c:v>
                </c:pt>
                <c:pt idx="343">
                  <c:v>0.5779828345448734</c:v>
                </c:pt>
                <c:pt idx="344">
                  <c:v>0.5735812136890488</c:v>
                </c:pt>
                <c:pt idx="345">
                  <c:v>0.5692218705280321</c:v>
                </c:pt>
                <c:pt idx="346">
                  <c:v>0.5649061140903819</c:v>
                </c:pt>
                <c:pt idx="347">
                  <c:v>0.5606352408727302</c:v>
                </c:pt>
                <c:pt idx="348">
                  <c:v>0.5564105345332633</c:v>
                </c:pt>
                <c:pt idx="349">
                  <c:v>0.5522332655850608</c:v>
                </c:pt>
                <c:pt idx="350">
                  <c:v>0.5481046910889716</c:v>
                </c:pt>
                <c:pt idx="351">
                  <c:v>0.544026054345727</c:v>
                </c:pt>
                <c:pt idx="352">
                  <c:v>0.5399985845870212</c:v>
                </c:pt>
                <c:pt idx="353">
                  <c:v>0.5360234966653058</c:v>
                </c:pt>
                <c:pt idx="354">
                  <c:v>0.5321019907420841</c:v>
                </c:pt>
                <c:pt idx="355">
                  <c:v>0.528235251974504</c:v>
                </c:pt>
                <c:pt idx="356">
                  <c:v>0.5244244502001012</c:v>
                </c:pt>
                <c:pt idx="357">
                  <c:v>0.5206707396195528</c:v>
                </c:pt>
                <c:pt idx="358">
                  <c:v>0.5169752584773525</c:v>
                </c:pt>
                <c:pt idx="359">
                  <c:v>0.5133391287403442</c:v>
                </c:pt>
                <c:pt idx="360">
                  <c:v>0.5097634557740872</c:v>
                </c:pt>
              </c:numCache>
            </c:numRef>
          </c:xVal>
          <c:yVal>
            <c:numRef>
              <c:f>Calc!$U$5:$U$365</c:f>
              <c:numCache>
                <c:ptCount val="361"/>
                <c:pt idx="0">
                  <c:v>0.5815907451358989</c:v>
                </c:pt>
                <c:pt idx="1">
                  <c:v>0.5871034084082131</c:v>
                </c:pt>
                <c:pt idx="2">
                  <c:v>0.5926999806103507</c:v>
                </c:pt>
                <c:pt idx="3">
                  <c:v>0.5983804902393447</c:v>
                </c:pt>
                <c:pt idx="4">
                  <c:v>0.6041448713324824</c:v>
                </c:pt>
                <c:pt idx="5">
                  <c:v>0.6099929565921536</c:v>
                </c:pt>
                <c:pt idx="6">
                  <c:v>0.6159244702272554</c:v>
                </c:pt>
                <c:pt idx="7">
                  <c:v>0.6219390205132246</c:v>
                </c:pt>
                <c:pt idx="8">
                  <c:v>0.6280360920746547</c:v>
                </c:pt>
                <c:pt idx="9">
                  <c:v>0.6342150378965904</c:v>
                </c:pt>
                <c:pt idx="10">
                  <c:v>0.6404750710729382</c:v>
                </c:pt>
                <c:pt idx="11">
                  <c:v>0.6468152563030521</c:v>
                </c:pt>
                <c:pt idx="12">
                  <c:v>0.6532345011504196</c:v>
                </c:pt>
                <c:pt idx="13">
                  <c:v>0.6597315470805097</c:v>
                </c:pt>
                <c:pt idx="14">
                  <c:v>0.6663049602982742</c:v>
                </c:pt>
                <c:pt idx="15">
                  <c:v>0.6729531224094899</c:v>
                </c:pt>
                <c:pt idx="16">
                  <c:v>0.6796742209341259</c:v>
                </c:pt>
                <c:pt idx="17">
                  <c:v>0.6864662397042017</c:v>
                </c:pt>
                <c:pt idx="18">
                  <c:v>0.6933269491831657</c:v>
                </c:pt>
                <c:pt idx="19">
                  <c:v>0.700253896748659</c:v>
                </c:pt>
                <c:pt idx="20">
                  <c:v>0.707244396985646</c:v>
                </c:pt>
                <c:pt idx="21">
                  <c:v>0.7142955220422172</c:v>
                </c:pt>
                <c:pt idx="22">
                  <c:v>0.7214040921059531</c:v>
                </c:pt>
                <c:pt idx="23">
                  <c:v>0.7285666660644634</c:v>
                </c:pt>
                <c:pt idx="24">
                  <c:v>0.7357795324196136</c:v>
                </c:pt>
                <c:pt idx="25">
                  <c:v>0.7430387005309289</c:v>
                </c:pt>
                <c:pt idx="26">
                  <c:v>0.7503398922696677</c:v>
                </c:pt>
                <c:pt idx="27">
                  <c:v>0.7576785341710391</c:v>
                </c:pt>
                <c:pt idx="28">
                  <c:v>0.7650497501778963</c:v>
                </c:pt>
                <c:pt idx="29">
                  <c:v>0.7724483550748793</c:v>
                </c:pt>
                <c:pt idx="30">
                  <c:v>0.7798688487173362</c:v>
                </c:pt>
                <c:pt idx="31">
                  <c:v>0.7873054111642674</c:v>
                </c:pt>
                <c:pt idx="32">
                  <c:v>0.7947518988289275</c:v>
                </c:pt>
                <c:pt idx="33">
                  <c:v>0.8022018417644154</c:v>
                </c:pt>
                <c:pt idx="34">
                  <c:v>0.8096484422045</c:v>
                </c:pt>
                <c:pt idx="35">
                  <c:v>0.8170845744818431</c:v>
                </c:pt>
                <c:pt idx="36">
                  <c:v>0.824502786446617</c:v>
                </c:pt>
                <c:pt idx="37">
                  <c:v>0.8318953025080507</c:v>
                </c:pt>
                <c:pt idx="38">
                  <c:v>0.8392540284195703</c:v>
                </c:pt>
                <c:pt idx="39">
                  <c:v>0.8465705579247231</c:v>
                </c:pt>
                <c:pt idx="40">
                  <c:v>0.8538361813758972</c:v>
                </c:pt>
                <c:pt idx="41">
                  <c:v>0.8610418964307602</c:v>
                </c:pt>
                <c:pt idx="42">
                  <c:v>0.8681784209223115</c:v>
                </c:pt>
                <c:pt idx="43">
                  <c:v>0.8752362079872571</c:v>
                </c:pt>
                <c:pt idx="44">
                  <c:v>0.8822054635241176</c:v>
                </c:pt>
                <c:pt idx="45">
                  <c:v>0.8890761660368922</c:v>
                </c:pt>
                <c:pt idx="46">
                  <c:v>0.8958380889023441</c:v>
                </c:pt>
                <c:pt idx="47">
                  <c:v>0.9024808250789494</c:v>
                </c:pt>
                <c:pt idx="48">
                  <c:v>0.9089938142534189</c:v>
                </c:pt>
                <c:pt idx="49">
                  <c:v>0.9153663723965554</c:v>
                </c:pt>
                <c:pt idx="50">
                  <c:v>0.921587723674219</c:v>
                </c:pt>
                <c:pt idx="51">
                  <c:v>0.9276470346315616</c:v>
                </c:pt>
                <c:pt idx="52">
                  <c:v>0.9335334505397901</c:v>
                </c:pt>
                <c:pt idx="53">
                  <c:v>0.9392361337648102</c:v>
                </c:pt>
                <c:pt idx="54">
                  <c:v>0.9447443039866423</c:v>
                </c:pt>
                <c:pt idx="55">
                  <c:v>0.9500472800678971</c:v>
                </c:pt>
                <c:pt idx="56">
                  <c:v>0.9551345233393831</c:v>
                </c:pt>
                <c:pt idx="57">
                  <c:v>0.9599956820415999</c:v>
                </c:pt>
                <c:pt idx="58">
                  <c:v>0.9646206366330289</c:v>
                </c:pt>
                <c:pt idx="59">
                  <c:v>0.96899954565033</c:v>
                </c:pt>
                <c:pt idx="60">
                  <c:v>0.9731228917824287</c:v>
                </c:pt>
                <c:pt idx="61">
                  <c:v>0.9769815278005164</c:v>
                </c:pt>
                <c:pt idx="62">
                  <c:v>0.9805667219698571</c:v>
                </c:pt>
                <c:pt idx="63">
                  <c:v>0.9838702025573902</c:v>
                </c:pt>
                <c:pt idx="64">
                  <c:v>0.9868842010420172</c:v>
                </c:pt>
                <c:pt idx="65">
                  <c:v>0.9896014936324264</c:v>
                </c:pt>
                <c:pt idx="66">
                  <c:v>0.9920154407007431</c:v>
                </c:pt>
                <c:pt idx="67">
                  <c:v>0.9941200237493204</c:v>
                </c:pt>
                <c:pt idx="68">
                  <c:v>0.9959098795427231</c:v>
                </c:pt>
                <c:pt idx="69">
                  <c:v>0.9973803310573954</c:v>
                </c:pt>
                <c:pt idx="70">
                  <c:v>0.9985274149274111</c:v>
                </c:pt>
                <c:pt idx="71">
                  <c:v>0.9993479050959154</c:v>
                </c:pt>
                <c:pt idx="72">
                  <c:v>0.9998393324178616</c:v>
                </c:pt>
                <c:pt idx="73">
                  <c:v>1</c:v>
                </c:pt>
                <c:pt idx="74">
                  <c:v>0.9998289941080999</c:v>
                </c:pt>
                <c:pt idx="75">
                  <c:v>0.9993261905184021</c:v>
                </c:pt>
                <c:pt idx="76">
                  <c:v>0.9984922562395059</c:v>
                </c:pt>
                <c:pt idx="77">
                  <c:v>0.9973286465814186</c:v>
                </c:pt>
                <c:pt idx="78">
                  <c:v>0.9958375975995061</c:v>
                </c:pt>
                <c:pt idx="79">
                  <c:v>0.9940221139916027</c:v>
                </c:pt>
                <c:pt idx="80">
                  <c:v>0.9918859525758008</c:v>
                </c:pt>
                <c:pt idx="81">
                  <c:v>0.9894336015234317</c:v>
                </c:pt>
                <c:pt idx="82">
                  <c:v>0.9866702555658553</c:v>
                </c:pt>
                <c:pt idx="83">
                  <c:v>0.983601787434</c:v>
                </c:pt>
                <c:pt idx="84">
                  <c:v>0.980234715825643</c:v>
                </c:pt>
                <c:pt idx="85">
                  <c:v>0.9765761702265803</c:v>
                </c:pt>
                <c:pt idx="86">
                  <c:v>0.9726338529377301</c:v>
                </c:pt>
                <c:pt idx="87">
                  <c:v>0.9684159986805676</c:v>
                </c:pt>
                <c:pt idx="88">
                  <c:v>0.9639313321679023</c:v>
                </c:pt>
                <c:pt idx="89">
                  <c:v>0.9591890240358879</c:v>
                </c:pt>
                <c:pt idx="90">
                  <c:v>0.9541986455363509</c:v>
                </c:pt>
                <c:pt idx="91">
                  <c:v>0.9489701223862508</c:v>
                </c:pt>
                <c:pt idx="92">
                  <c:v>0.9435136881636197</c:v>
                </c:pt>
                <c:pt idx="93">
                  <c:v>0.9378398376270978</c:v>
                </c:pt>
                <c:pt idx="94">
                  <c:v>0.9319592803195733</c:v>
                </c:pt>
                <c:pt idx="95">
                  <c:v>0.9258828947960553</c:v>
                </c:pt>
                <c:pt idx="96">
                  <c:v>0.9196216837922406</c:v>
                </c:pt>
                <c:pt idx="97">
                  <c:v>0.913186730623906</c:v>
                </c:pt>
                <c:pt idx="98">
                  <c:v>0.9065891570788599</c:v>
                </c:pt>
                <c:pt idx="99">
                  <c:v>0.8998400830332975</c:v>
                </c:pt>
                <c:pt idx="100">
                  <c:v>0.8929505879936019</c:v>
                </c:pt>
                <c:pt idx="101">
                  <c:v>0.8859316747334832</c:v>
                </c:pt>
                <c:pt idx="102">
                  <c:v>0.8787942351653225</c:v>
                </c:pt>
                <c:pt idx="103">
                  <c:v>0.8715490185541663</c:v>
                </c:pt>
                <c:pt idx="104">
                  <c:v>0.864206602153426</c:v>
                </c:pt>
                <c:pt idx="105">
                  <c:v>0.8567773643132692</c:v>
                </c:pt>
                <c:pt idx="106">
                  <c:v>0.8492714600863196</c:v>
                </c:pt>
                <c:pt idx="107">
                  <c:v>0.8416987993307703</c:v>
                </c:pt>
                <c:pt idx="108">
                  <c:v>0.83406902728859</c:v>
                </c:pt>
                <c:pt idx="109">
                  <c:v>0.8263915075962672</c:v>
                </c:pt>
                <c:pt idx="110">
                  <c:v>0.8186753076675776</c:v>
                </c:pt>
                <c:pt idx="111">
                  <c:v>0.8109291863721714</c:v>
                </c:pt>
                <c:pt idx="112">
                  <c:v>0.8031615839204098</c:v>
                </c:pt>
                <c:pt idx="113">
                  <c:v>0.7953806138537018</c:v>
                </c:pt>
                <c:pt idx="114">
                  <c:v>0.7875940570305899</c:v>
                </c:pt>
                <c:pt idx="115">
                  <c:v>0.7798093574918585</c:v>
                </c:pt>
                <c:pt idx="116">
                  <c:v>0.772033620082874</c:v>
                </c:pt>
                <c:pt idx="117">
                  <c:v>0.7642736097080904</c:v>
                </c:pt>
                <c:pt idx="118">
                  <c:v>0.7565357520909612</c:v>
                </c:pt>
                <c:pt idx="119">
                  <c:v>0.748826135912297</c:v>
                </c:pt>
                <c:pt idx="120">
                  <c:v>0.7411505162011736</c:v>
                </c:pt>
                <c:pt idx="121">
                  <c:v>0.7335143188547129</c:v>
                </c:pt>
                <c:pt idx="122">
                  <c:v>0.7259226461662303</c:v>
                </c:pt>
                <c:pt idx="123">
                  <c:v>0.718380283245252</c:v>
                </c:pt>
                <c:pt idx="124">
                  <c:v>0.7108917052175864</c:v>
                </c:pt>
                <c:pt idx="125">
                  <c:v>0.7034610850988469</c:v>
                </c:pt>
                <c:pt idx="126">
                  <c:v>0.6960923022404705</c:v>
                </c:pt>
                <c:pt idx="127">
                  <c:v>0.6887889512532012</c:v>
                </c:pt>
                <c:pt idx="128">
                  <c:v>0.6815543513191509</c:v>
                </c:pt>
                <c:pt idx="129">
                  <c:v>0.6743915558097838</c:v>
                </c:pt>
                <c:pt idx="130">
                  <c:v>0.6673033621334364</c:v>
                </c:pt>
                <c:pt idx="131">
                  <c:v>0.6602923217421933</c:v>
                </c:pt>
                <c:pt idx="132">
                  <c:v>0.653360750234053</c:v>
                </c:pt>
                <c:pt idx="133">
                  <c:v>0.6465107374922615</c:v>
                </c:pt>
                <c:pt idx="134">
                  <c:v>0.639744157809445</c:v>
                </c:pt>
                <c:pt idx="135">
                  <c:v>0.6330626799496772</c:v>
                </c:pt>
                <c:pt idx="136">
                  <c:v>0.6264677771068868</c:v>
                </c:pt>
                <c:pt idx="137">
                  <c:v>0.6199607367229764</c:v>
                </c:pt>
                <c:pt idx="138">
                  <c:v>0.6135426701337096</c:v>
                </c:pt>
                <c:pt idx="139">
                  <c:v>0.6072145220148134</c:v>
                </c:pt>
                <c:pt idx="140">
                  <c:v>0.6009770796048243</c:v>
                </c:pt>
                <c:pt idx="141">
                  <c:v>0.5948309816849782</c:v>
                </c:pt>
                <c:pt idx="142">
                  <c:v>0.5887767272999415</c:v>
                </c:pt>
                <c:pt idx="143">
                  <c:v>0.5828146842063558</c:v>
                </c:pt>
                <c:pt idx="144">
                  <c:v>0.5769450970390899</c:v>
                </c:pt>
                <c:pt idx="145">
                  <c:v>0.5711680951877204</c:v>
                </c:pt>
                <c:pt idx="146">
                  <c:v>0.5654837003781495</c:v>
                </c:pt>
                <c:pt idx="147">
                  <c:v>0.5598918339563895</c:v>
                </c:pt>
                <c:pt idx="148">
                  <c:v>0.554392323873455</c:v>
                </c:pt>
                <c:pt idx="149">
                  <c:v>0.5489849113719794</c:v>
                </c:pt>
                <c:pt idx="150">
                  <c:v>0.5436692573766493</c:v>
                </c:pt>
                <c:pt idx="151">
                  <c:v>0.5384449485918478</c:v>
                </c:pt>
                <c:pt idx="152">
                  <c:v>0.5333115033110071</c:v>
                </c:pt>
                <c:pt idx="153">
                  <c:v>0.528268376943127</c:v>
                </c:pt>
                <c:pt idx="154">
                  <c:v>0.5233149672627233</c:v>
                </c:pt>
                <c:pt idx="155">
                  <c:v>0.5184506193901449</c:v>
                </c:pt>
                <c:pt idx="156">
                  <c:v>0.5136746305097473</c:v>
                </c:pt>
                <c:pt idx="157">
                  <c:v>0.5089862543338507</c:v>
                </c:pt>
                <c:pt idx="158">
                  <c:v>0.5043847053207575</c:v>
                </c:pt>
                <c:pt idx="159">
                  <c:v>0.4998691626553488</c:v>
                </c:pt>
                <c:pt idx="160">
                  <c:v>0.49543877400096004</c:v>
                </c:pt>
                <c:pt idx="161">
                  <c:v>0.4910926590313387</c:v>
                </c:pt>
                <c:pt idx="162">
                  <c:v>0.48682991275152443</c:v>
                </c:pt>
                <c:pt idx="163">
                  <c:v>0.4826496086164834</c:v>
                </c:pt>
                <c:pt idx="164">
                  <c:v>0.4785508014562718</c:v>
                </c:pt>
                <c:pt idx="165">
                  <c:v>0.47453253021639497</c:v>
                </c:pt>
                <c:pt idx="166">
                  <c:v>0.47059382052190374</c:v>
                </c:pt>
                <c:pt idx="167">
                  <c:v>0.46673368707359997</c:v>
                </c:pt>
                <c:pt idx="168">
                  <c:v>0.462951135884533</c:v>
                </c:pt>
                <c:pt idx="169">
                  <c:v>0.45924516636476703</c:v>
                </c:pt>
                <c:pt idx="170">
                  <c:v>0.4556147732621659</c:v>
                </c:pt>
                <c:pt idx="171">
                  <c:v>0.452058948466708</c:v>
                </c:pt>
                <c:pt idx="172">
                  <c:v>0.44857668268559847</c:v>
                </c:pt>
                <c:pt idx="173">
                  <c:v>0.44516696699618236</c:v>
                </c:pt>
                <c:pt idx="174">
                  <c:v>0.44182879428341304</c:v>
                </c:pt>
                <c:pt idx="175">
                  <c:v>0.43856116056836175</c:v>
                </c:pt>
                <c:pt idx="176">
                  <c:v>0.43536306623399107</c:v>
                </c:pt>
                <c:pt idx="177">
                  <c:v>0.43223351715415737</c:v>
                </c:pt>
                <c:pt idx="178">
                  <c:v>0.42917152573154504</c:v>
                </c:pt>
                <c:pt idx="179">
                  <c:v>0.4261761118499788</c:v>
                </c:pt>
                <c:pt idx="180">
                  <c:v>0.4232463037463091</c:v>
                </c:pt>
                <c:pt idx="181">
                  <c:v>0.42038113880682354</c:v>
                </c:pt>
                <c:pt idx="182">
                  <c:v>0.4175796642928875</c:v>
                </c:pt>
                <c:pt idx="183">
                  <c:v>0.41484093800029587</c:v>
                </c:pt>
                <c:pt idx="184">
                  <c:v>0.41216402885657794</c:v>
                </c:pt>
                <c:pt idx="185">
                  <c:v>0.4095480174602908</c:v>
                </c:pt>
                <c:pt idx="186">
                  <c:v>0.4069919965661141</c:v>
                </c:pt>
                <c:pt idx="187">
                  <c:v>0.404495071519362</c:v>
                </c:pt>
                <c:pt idx="188">
                  <c:v>0.4020563606433274</c:v>
                </c:pt>
                <c:pt idx="189">
                  <c:v>0.39967499558269043</c:v>
                </c:pt>
                <c:pt idx="190">
                  <c:v>0.39735012160603467</c:v>
                </c:pt>
                <c:pt idx="191">
                  <c:v>0.39508089787035117</c:v>
                </c:pt>
                <c:pt idx="192">
                  <c:v>0.3928664976502381</c:v>
                </c:pt>
                <c:pt idx="193">
                  <c:v>0.39070610853434995</c:v>
                </c:pt>
                <c:pt idx="194">
                  <c:v>0.38859893259149986</c:v>
                </c:pt>
                <c:pt idx="195">
                  <c:v>0.3865441865086752</c:v>
                </c:pt>
                <c:pt idx="196">
                  <c:v>0.38454110170309197</c:v>
                </c:pt>
                <c:pt idx="197">
                  <c:v>0.3825889244102833</c:v>
                </c:pt>
                <c:pt idx="198">
                  <c:v>0.38068691575009816</c:v>
                </c:pt>
                <c:pt idx="199">
                  <c:v>0.3788343517723661</c:v>
                </c:pt>
                <c:pt idx="200">
                  <c:v>0.3770305234838803</c:v>
                </c:pt>
                <c:pt idx="201">
                  <c:v>0.37527473685824253</c:v>
                </c:pt>
                <c:pt idx="202">
                  <c:v>0.3735663128300181</c:v>
                </c:pt>
                <c:pt idx="203">
                  <c:v>0.37190458727455844</c:v>
                </c:pt>
                <c:pt idx="204">
                  <c:v>0.37028891097475664</c:v>
                </c:pt>
                <c:pt idx="205">
                  <c:v>0.3687186495759268</c:v>
                </c:pt>
                <c:pt idx="206">
                  <c:v>0.36719318352991337</c:v>
                </c:pt>
                <c:pt idx="207">
                  <c:v>0.36571190802946957</c:v>
                </c:pt>
                <c:pt idx="208">
                  <c:v>0.3642742329338728</c:v>
                </c:pt>
                <c:pt idx="209">
                  <c:v>0.3628795826866825</c:v>
                </c:pt>
                <c:pt idx="210">
                  <c:v>0.361527396226485</c:v>
                </c:pt>
                <c:pt idx="211">
                  <c:v>0.3602171268914131</c:v>
                </c:pt>
                <c:pt idx="212">
                  <c:v>0.3589482423181762</c:v>
                </c:pt>
                <c:pt idx="213">
                  <c:v>0.35772022433628775</c:v>
                </c:pt>
                <c:pt idx="214">
                  <c:v>0.3565325688581289</c:v>
                </c:pt>
                <c:pt idx="215">
                  <c:v>0.355384785765445</c:v>
                </c:pt>
                <c:pt idx="216">
                  <c:v>0.35427639879283135</c:v>
                </c:pt>
                <c:pt idx="217">
                  <c:v>0.3532069454087257</c:v>
                </c:pt>
                <c:pt idx="218">
                  <c:v>0.35217597669439304</c:v>
                </c:pt>
                <c:pt idx="219">
                  <c:v>0.3511830572213488</c:v>
                </c:pt>
                <c:pt idx="220">
                  <c:v>0.3502277649276451</c:v>
                </c:pt>
                <c:pt idx="221">
                  <c:v>0.34930969099340725</c:v>
                </c:pt>
                <c:pt idx="222">
                  <c:v>0.3484284397159881</c:v>
                </c:pt>
                <c:pt idx="223">
                  <c:v>0.3475836283850788</c:v>
                </c:pt>
                <c:pt idx="224">
                  <c:v>0.34677488715809485</c:v>
                </c:pt>
                <c:pt idx="225">
                  <c:v>0.34600185893613156</c:v>
                </c:pt>
                <c:pt idx="226">
                  <c:v>0.34526419924076907</c:v>
                </c:pt>
                <c:pt idx="227">
                  <c:v>0.3445615760919799</c:v>
                </c:pt>
                <c:pt idx="228">
                  <c:v>0.34389366988738673</c:v>
                </c:pt>
                <c:pt idx="229">
                  <c:v>0.3432601732830909</c:v>
                </c:pt>
                <c:pt idx="230">
                  <c:v>0.34266079107628666</c:v>
                </c:pt>
                <c:pt idx="231">
                  <c:v>0.3420952400898572</c:v>
                </c:pt>
                <c:pt idx="232">
                  <c:v>0.3415632490591393</c:v>
                </c:pt>
                <c:pt idx="233">
                  <c:v>0.34106455852103057</c:v>
                </c:pt>
                <c:pt idx="234">
                  <c:v>0.34059892070560305</c:v>
                </c:pt>
                <c:pt idx="235">
                  <c:v>0.340166099430378</c:v>
                </c:pt>
                <c:pt idx="236">
                  <c:v>0.33976586999740593</c:v>
                </c:pt>
                <c:pt idx="237">
                  <c:v>0.3393980190932896</c:v>
                </c:pt>
                <c:pt idx="238">
                  <c:v>0.3390623446922803</c:v>
                </c:pt>
                <c:pt idx="239">
                  <c:v>0.338758655962567</c:v>
                </c:pt>
                <c:pt idx="240">
                  <c:v>0.33848677317587705</c:v>
                </c:pt>
                <c:pt idx="241">
                  <c:v>0.3382465276204959</c:v>
                </c:pt>
                <c:pt idx="242">
                  <c:v>0.3380377615178117</c:v>
                </c:pt>
                <c:pt idx="243">
                  <c:v>0.3378603279424825</c:v>
                </c:pt>
                <c:pt idx="244">
                  <c:v>0.3377140907463199</c:v>
                </c:pt>
                <c:pt idx="245">
                  <c:v>0.33759892448598045</c:v>
                </c:pt>
                <c:pt idx="246">
                  <c:v>0.3375147143545463</c:v>
                </c:pt>
                <c:pt idx="247">
                  <c:v>0.33746135611708095</c:v>
                </c:pt>
                <c:pt idx="248">
                  <c:v>0.33743875605023277</c:v>
                </c:pt>
                <c:pt idx="249">
                  <c:v>0.33744683088596233</c:v>
                </c:pt>
                <c:pt idx="250">
                  <c:v>0.33748550775946234</c:v>
                </c:pt>
                <c:pt idx="251">
                  <c:v>0.33755472416133736</c:v>
                </c:pt>
                <c:pt idx="252">
                  <c:v>0.33765442789410466</c:v>
                </c:pt>
                <c:pt idx="253">
                  <c:v>0.33778457703307724</c:v>
                </c:pt>
                <c:pt idx="254">
                  <c:v>0.3379451398916839</c:v>
                </c:pt>
                <c:pt idx="255">
                  <c:v>0.33813609499127917</c:v>
                </c:pt>
                <c:pt idx="256">
                  <c:v>0.3383574310354921</c:v>
                </c:pt>
                <c:pt idx="257">
                  <c:v>0.33860914688916016</c:v>
                </c:pt>
                <c:pt idx="258">
                  <c:v>0.33889125156188793</c:v>
                </c:pt>
                <c:pt idx="259">
                  <c:v>0.33920376419627046</c:v>
                </c:pt>
                <c:pt idx="260">
                  <c:v>0.33954671406081416</c:v>
                </c:pt>
                <c:pt idx="261">
                  <c:v>0.3399201405475843</c:v>
                </c:pt>
                <c:pt idx="262">
                  <c:v>0.3403240931746057</c:v>
                </c:pt>
                <c:pt idx="263">
                  <c:v>0.34075863159303577</c:v>
                </c:pt>
                <c:pt idx="264">
                  <c:v>0.34122382559912545</c:v>
                </c:pt>
                <c:pt idx="265">
                  <c:v>0.3417197551509789</c:v>
                </c:pt>
                <c:pt idx="266">
                  <c:v>0.3422465103901166</c:v>
                </c:pt>
                <c:pt idx="267">
                  <c:v>0.34280419166783876</c:v>
                </c:pt>
                <c:pt idx="268">
                  <c:v>0.3433929095763843</c:v>
                </c:pt>
                <c:pt idx="269">
                  <c:v>0.34401278498486776</c:v>
                </c:pt>
                <c:pt idx="270">
                  <c:v>0.3446639490799743</c:v>
                </c:pt>
                <c:pt idx="271">
                  <c:v>0.3453465434113834</c:v>
                </c:pt>
                <c:pt idx="272">
                  <c:v>0.3460607199418826</c:v>
                </c:pt>
                <c:pt idx="273">
                  <c:v>0.3468066411021255</c:v>
                </c:pt>
                <c:pt idx="274">
                  <c:v>0.347584479849978</c:v>
                </c:pt>
                <c:pt idx="275">
                  <c:v>0.3483944197343883</c:v>
                </c:pt>
                <c:pt idx="276">
                  <c:v>0.34923665496370254</c:v>
                </c:pt>
                <c:pt idx="277">
                  <c:v>0.3501113904783396</c:v>
                </c:pt>
                <c:pt idx="278">
                  <c:v>0.35101884202772554</c:v>
                </c:pt>
                <c:pt idx="279">
                  <c:v>0.35195923625137493</c:v>
                </c:pt>
                <c:pt idx="280">
                  <c:v>0.3529328107639935</c:v>
                </c:pt>
                <c:pt idx="281">
                  <c:v>0.35393981424446097</c:v>
                </c:pt>
                <c:pt idx="282">
                  <c:v>0.3549805065285383</c:v>
                </c:pt>
                <c:pt idx="283">
                  <c:v>0.3560551587051272</c:v>
                </c:pt>
                <c:pt idx="284">
                  <c:v>0.3571640532158931</c:v>
                </c:pt>
                <c:pt idx="285">
                  <c:v>0.35830748395803985</c:v>
                </c:pt>
                <c:pt idx="286">
                  <c:v>0.3594857563900129</c:v>
                </c:pt>
                <c:pt idx="287">
                  <c:v>0.3606991876398782</c:v>
                </c:pt>
                <c:pt idx="288">
                  <c:v>0.3619481066161071</c:v>
                </c:pt>
                <c:pt idx="289">
                  <c:v>0.36323285412047274</c:v>
                </c:pt>
                <c:pt idx="290">
                  <c:v>0.3645537829627375</c:v>
                </c:pt>
                <c:pt idx="291">
                  <c:v>0.3659112580767856</c:v>
                </c:pt>
                <c:pt idx="292">
                  <c:v>0.36730565663782566</c:v>
                </c:pt>
                <c:pt idx="293">
                  <c:v>0.36873736818025926</c:v>
                </c:pt>
                <c:pt idx="294">
                  <c:v>0.370206794715779</c:v>
                </c:pt>
                <c:pt idx="295">
                  <c:v>0.3717143508512259</c:v>
                </c:pt>
                <c:pt idx="296">
                  <c:v>0.3732604639057008</c:v>
                </c:pt>
                <c:pt idx="297">
                  <c:v>0.3748455740263864</c:v>
                </c:pt>
                <c:pt idx="298">
                  <c:v>0.3764701343024957</c:v>
                </c:pt>
                <c:pt idx="299">
                  <c:v>0.37813461087672173</c:v>
                </c:pt>
                <c:pt idx="300">
                  <c:v>0.37983948305351595</c:v>
                </c:pt>
                <c:pt idx="301">
                  <c:v>0.38158524340347905</c:v>
                </c:pt>
                <c:pt idx="302">
                  <c:v>0.3833723978630916</c:v>
                </c:pt>
                <c:pt idx="303">
                  <c:v>0.38520146582896525</c:v>
                </c:pt>
                <c:pt idx="304">
                  <c:v>0.387072980245732</c:v>
                </c:pt>
                <c:pt idx="305">
                  <c:v>0.38898748768663527</c:v>
                </c:pt>
                <c:pt idx="306">
                  <c:v>0.39094554842581786</c:v>
                </c:pt>
                <c:pt idx="307">
                  <c:v>0.3929477365012397</c:v>
                </c:pt>
                <c:pt idx="308">
                  <c:v>0.3949946397670839</c:v>
                </c:pt>
                <c:pt idx="309">
                  <c:v>0.3970868599344358</c:v>
                </c:pt>
                <c:pt idx="310">
                  <c:v>0.3992250125989446</c:v>
                </c:pt>
                <c:pt idx="311">
                  <c:v>0.4014097272540868</c:v>
                </c:pt>
                <c:pt idx="312">
                  <c:v>0.40364164728856794</c:v>
                </c:pt>
                <c:pt idx="313">
                  <c:v>0.4059214299663077</c:v>
                </c:pt>
                <c:pt idx="314">
                  <c:v>0.40824974638735007</c:v>
                </c:pt>
                <c:pt idx="315">
                  <c:v>0.4106272814279421</c:v>
                </c:pt>
                <c:pt idx="316">
                  <c:v>0.4130547336579169</c:v>
                </c:pt>
                <c:pt idx="317">
                  <c:v>0.41553281523339847</c:v>
                </c:pt>
                <c:pt idx="318">
                  <c:v>0.41806225176273193</c:v>
                </c:pt>
                <c:pt idx="319">
                  <c:v>0.42064378214341086</c:v>
                </c:pt>
                <c:pt idx="320">
                  <c:v>0.4232781583676508</c:v>
                </c:pt>
                <c:pt idx="321">
                  <c:v>0.42596614529410776</c:v>
                </c:pt>
                <c:pt idx="322">
                  <c:v>0.4287085203831085</c:v>
                </c:pt>
                <c:pt idx="323">
                  <c:v>0.431506073392598</c:v>
                </c:pt>
                <c:pt idx="324">
                  <c:v>0.43435960603186013</c:v>
                </c:pt>
                <c:pt idx="325">
                  <c:v>0.43726993156989435</c:v>
                </c:pt>
                <c:pt idx="326">
                  <c:v>0.44023787439516754</c:v>
                </c:pt>
                <c:pt idx="327">
                  <c:v>0.44326426952327447</c:v>
                </c:pt>
                <c:pt idx="328">
                  <c:v>0.44634996204886196</c:v>
                </c:pt>
                <c:pt idx="329">
                  <c:v>0.4494958065379728</c:v>
                </c:pt>
                <c:pt idx="330">
                  <c:v>0.4527026663567694</c:v>
                </c:pt>
                <c:pt idx="331">
                  <c:v>0.4559714129323941</c:v>
                </c:pt>
                <c:pt idx="332">
                  <c:v>0.4593029249415064</c:v>
                </c:pt>
                <c:pt idx="333">
                  <c:v>0.46269808742182383</c:v>
                </c:pt>
                <c:pt idx="334">
                  <c:v>0.4661577908017671</c:v>
                </c:pt>
                <c:pt idx="335">
                  <c:v>0.4696829298430856</c:v>
                </c:pt>
                <c:pt idx="336">
                  <c:v>0.473274402491104</c:v>
                </c:pt>
                <c:pt idx="337">
                  <c:v>0.4769331086270005</c:v>
                </c:pt>
                <c:pt idx="338">
                  <c:v>0.480659948716282</c:v>
                </c:pt>
                <c:pt idx="339">
                  <c:v>0.48445582234739387</c:v>
                </c:pt>
                <c:pt idx="340">
                  <c:v>0.48832162665415274</c:v>
                </c:pt>
                <c:pt idx="341">
                  <c:v>0.49225825461546335</c:v>
                </c:pt>
                <c:pt idx="342">
                  <c:v>0.49626659322554506</c:v>
                </c:pt>
                <c:pt idx="343">
                  <c:v>0.5003475215276642</c:v>
                </c:pt>
                <c:pt idx="344">
                  <c:v>0.5045019085041578</c:v>
                </c:pt>
                <c:pt idx="345">
                  <c:v>0.5087306108153163</c:v>
                </c:pt>
                <c:pt idx="346">
                  <c:v>0.5130344703795153</c:v>
                </c:pt>
                <c:pt idx="347">
                  <c:v>0.5174143117867923</c:v>
                </c:pt>
                <c:pt idx="348">
                  <c:v>0.5218709395379257</c:v>
                </c:pt>
                <c:pt idx="349">
                  <c:v>0.5264051351009371</c:v>
                </c:pt>
                <c:pt idx="350">
                  <c:v>0.5310176537768392</c:v>
                </c:pt>
                <c:pt idx="351">
                  <c:v>0.5357092213663941</c:v>
                </c:pt>
                <c:pt idx="352">
                  <c:v>0.540480530629618</c:v>
                </c:pt>
                <c:pt idx="353">
                  <c:v>0.5453322375297986</c:v>
                </c:pt>
                <c:pt idx="354">
                  <c:v>0.5502649572538688</c:v>
                </c:pt>
                <c:pt idx="355">
                  <c:v>0.5552792600011303</c:v>
                </c:pt>
                <c:pt idx="356">
                  <c:v>0.5603756665325128</c:v>
                </c:pt>
                <c:pt idx="357">
                  <c:v>0.5655546434728721</c:v>
                </c:pt>
                <c:pt idx="358">
                  <c:v>0.5708165983591814</c:v>
                </c:pt>
                <c:pt idx="359">
                  <c:v>0.5761618744279646</c:v>
                </c:pt>
                <c:pt idx="360">
                  <c:v>0.5815907451358988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Calc!$F$375</c:f>
              <c:strCache>
                <c:ptCount val="1"/>
                <c:pt idx="0">
                  <c:v>pRe/pRe.max [kg/(ms²]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2"/>
            <c:spPr>
              <a:noFill/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0" sourceLinked="0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Calc!$E$376:$E$377</c:f>
              <c:numCache>
                <c:ptCount val="2"/>
                <c:pt idx="0">
                  <c:v>0.5097634557740871</c:v>
                </c:pt>
                <c:pt idx="1">
                  <c:v>0.5097634557740871</c:v>
                </c:pt>
              </c:numCache>
            </c:numRef>
          </c:xVal>
          <c:yVal>
            <c:numRef>
              <c:f>Calc!$F$376:$F$377</c:f>
              <c:numCache>
                <c:ptCount val="2"/>
                <c:pt idx="0">
                  <c:v>0.5815907451358989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Calc!$I$375</c:f>
              <c:strCache>
                <c:ptCount val="1"/>
                <c:pt idx="0">
                  <c:v>VRe.max=2.461,621cm³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VRe.max=2.461,621cm³</a:t>
                    </a:r>
                  </a:p>
                </c:rich>
              </c:tx>
              <c:numFmt formatCode="0.0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Calc!$I$376</c:f>
              <c:numCache>
                <c:ptCount val="1"/>
                <c:pt idx="0">
                  <c:v>0.9</c:v>
                </c:pt>
              </c:numCache>
            </c:numRef>
          </c:xVal>
          <c:yVal>
            <c:numRef>
              <c:f>Calc!$I$377</c:f>
              <c:numCache>
                <c:ptCount val="1"/>
                <c:pt idx="0">
                  <c:v>1.14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Calc!$J$375</c:f>
              <c:strCache>
                <c:ptCount val="1"/>
                <c:pt idx="0">
                  <c:v>pRe.max = 169 kPa  .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pRe.max = 169 kPa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Calc!$J$376</c:f>
              <c:numCache>
                <c:ptCount val="1"/>
                <c:pt idx="0">
                  <c:v>0.9</c:v>
                </c:pt>
              </c:numCache>
            </c:numRef>
          </c:xVal>
          <c:yVal>
            <c:numRef>
              <c:f>Calc!$J$377</c:f>
              <c:numCache>
                <c:ptCount val="1"/>
                <c:pt idx="0">
                  <c:v>1.08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Calc!$K$375</c:f>
              <c:strCache>
                <c:ptCount val="1"/>
                <c:pt idx="0">
                  <c:v> PRe      = 1.698,156 W   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</a:rPr>
                      <a:t> PRe      = 1.698,156 W   </a:t>
                    </a:r>
                    <a:r>
                      <a:rPr lang="en-US" cap="none" sz="1000" b="0" i="0" u="none" baseline="0">
                        <a:solidFill>
                          <a:srgbClr val="FF0000"/>
                        </a:solidFill>
                      </a:rPr>
                      <a:t>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Calc!$K$376</c:f>
              <c:numCache>
                <c:ptCount val="1"/>
                <c:pt idx="0">
                  <c:v>0.9</c:v>
                </c:pt>
              </c:numCache>
            </c:numRef>
          </c:xVal>
          <c:yVal>
            <c:numRef>
              <c:f>Calc!$K$377</c:f>
              <c:numCache>
                <c:ptCount val="1"/>
                <c:pt idx="0">
                  <c:v>1.02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Calc!$L$375</c:f>
              <c:strCache>
                <c:ptCount val="1"/>
                <c:pt idx="0">
                  <c:v>h        = 0,6529  .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Calc!$L$376</c:f>
              <c:numCache>
                <c:ptCount val="1"/>
                <c:pt idx="0">
                  <c:v>0.9</c:v>
                </c:pt>
              </c:numCache>
            </c:numRef>
          </c:xVal>
          <c:yVal>
            <c:numRef>
              <c:f>Calc!$L$377</c:f>
              <c:numCache>
                <c:ptCount val="1"/>
                <c:pt idx="0">
                  <c:v>0.96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Calc!$V$5</c:f>
              <c:strCache>
                <c:ptCount val="1"/>
                <c:pt idx="0">
                  <c:v>0°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00000" sourceLinked="0"/>
            <c:txPr>
              <a:bodyPr vert="horz" rot="0" anchor="ctr"/>
              <a:lstStyle/>
              <a:p>
                <a:pPr>
                  <a:defRPr lang="en-US" cap="none" sz="6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Calc!$S$5</c:f>
              <c:numCache>
                <c:ptCount val="1"/>
                <c:pt idx="0">
                  <c:v>0.5097634557740871</c:v>
                </c:pt>
              </c:numCache>
            </c:numRef>
          </c:xVal>
          <c:yVal>
            <c:numRef>
              <c:f>Calc!$U$5</c:f>
              <c:numCache>
                <c:ptCount val="1"/>
                <c:pt idx="0">
                  <c:v>0.5815907451358989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Calc!$V$95</c:f>
              <c:strCache>
                <c:ptCount val="1"/>
                <c:pt idx="0">
                  <c:v>90°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Calc!$S$95</c:f>
              <c:numCache>
                <c:ptCount val="1"/>
                <c:pt idx="0">
                  <c:v>0.5097634557740871</c:v>
                </c:pt>
              </c:numCache>
            </c:numRef>
          </c:xVal>
          <c:yVal>
            <c:numRef>
              <c:f>Calc!$U$95</c:f>
              <c:numCache>
                <c:ptCount val="1"/>
                <c:pt idx="0">
                  <c:v>0.9541986455363509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Calc!$V$185</c:f>
              <c:strCache>
                <c:ptCount val="1"/>
                <c:pt idx="0">
                  <c:v>180°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Calc!$S$185</c:f>
              <c:numCache>
                <c:ptCount val="1"/>
                <c:pt idx="0">
                  <c:v>0.9159997389341737</c:v>
                </c:pt>
              </c:numCache>
            </c:numRef>
          </c:xVal>
          <c:yVal>
            <c:numRef>
              <c:f>Calc!$U$185</c:f>
              <c:numCache>
                <c:ptCount val="1"/>
                <c:pt idx="0">
                  <c:v>0.4232463037463091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Calc!$V$275</c:f>
              <c:strCache>
                <c:ptCount val="1"/>
                <c:pt idx="0">
                  <c:v>270°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Calc!$S$275</c:f>
              <c:numCache>
                <c:ptCount val="1"/>
                <c:pt idx="0">
                  <c:v>0.9159997389341739</c:v>
                </c:pt>
              </c:numCache>
            </c:numRef>
          </c:xVal>
          <c:yVal>
            <c:numRef>
              <c:f>Calc!$U$275</c:f>
              <c:numCache>
                <c:ptCount val="1"/>
                <c:pt idx="0">
                  <c:v>0.3446639490799743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Calc!$T$375</c:f>
              <c:strCache>
                <c:ptCount val="1"/>
                <c:pt idx="0">
                  <c:v>pmean/pmax = 0,598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Calc!$U$376:$U$377</c:f>
              <c:numCach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xVal>
          <c:yVal>
            <c:numRef>
              <c:f>Calc!$T$376:$T$377</c:f>
              <c:numCache>
                <c:ptCount val="2"/>
                <c:pt idx="0">
                  <c:v>0.5977098131838934</c:v>
                </c:pt>
                <c:pt idx="1">
                  <c:v>0.5977098131838934</c:v>
                </c:pt>
              </c:numCache>
            </c:numRef>
          </c:yVal>
          <c:smooth val="1"/>
        </c:ser>
        <c:axId val="36822584"/>
        <c:axId val="62967801"/>
      </c:scatterChart>
      <c:valAx>
        <c:axId val="36822584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Volumen: V/V</a:t>
                </a:r>
                <a:r>
                  <a:rPr lang="en-US" cap="none" sz="10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ReMax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 - ]</a:t>
                </a:r>
              </a:p>
            </c:rich>
          </c:tx>
          <c:layout>
            <c:manualLayout>
              <c:xMode val="factor"/>
              <c:yMode val="factor"/>
              <c:x val="0.02375"/>
              <c:y val="0.08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67801"/>
        <c:crossesAt val="0"/>
        <c:crossBetween val="midCat"/>
        <c:dispUnits/>
        <c:majorUnit val="0.2"/>
        <c:minorUnit val="0.1"/>
      </c:valAx>
      <c:valAx>
        <c:axId val="62967801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Druck: p/p</a:t>
                </a:r>
                <a:r>
                  <a:rPr lang="en-US" cap="none" sz="10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Remax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 - ]</a:t>
                </a:r>
              </a:p>
            </c:rich>
          </c:tx>
          <c:layout>
            <c:manualLayout>
              <c:xMode val="factor"/>
              <c:yMode val="factor"/>
              <c:x val="0.02425"/>
              <c:y val="0.08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At val="0"/>
        <c:crossBetween val="midCat"/>
        <c:dispUnits/>
        <c:majorUnit val="0.2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5"/>
          <c:y val="0.90225"/>
          <c:w val="0.695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p(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j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384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8"/>
          <c:w val="0.934"/>
          <c:h val="0.92025"/>
        </c:manualLayout>
      </c:layout>
      <c:radarChart>
        <c:radarStyle val="marker"/>
        <c:varyColors val="0"/>
        <c:ser>
          <c:idx val="0"/>
          <c:order val="0"/>
          <c:tx>
            <c:strRef>
              <c:f>Calc!$L$3</c:f>
              <c:strCache>
                <c:ptCount val="1"/>
                <c:pt idx="0">
                  <c:v>Schmidt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Calc!$L$5:$L$364</c:f>
              <c:numCache/>
            </c:numRef>
          </c:val>
        </c:ser>
        <c:ser>
          <c:idx val="1"/>
          <c:order val="1"/>
          <c:tx>
            <c:strRef>
              <c:f>Calc!$M$3</c:f>
              <c:strCache>
                <c:ptCount val="1"/>
                <c:pt idx="0">
                  <c:v>Realer Weg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Calc!$M$5:$M$364</c:f>
              <c:numCache/>
            </c:numRef>
          </c:val>
        </c:ser>
        <c:axId val="29839298"/>
        <c:axId val="118227"/>
      </c:radarChart>
      <c:catAx>
        <c:axId val="298392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auto val="0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929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8"/>
          <c:y val="0.88625"/>
          <c:w val="0.17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25</xdr:row>
      <xdr:rowOff>28575</xdr:rowOff>
    </xdr:from>
    <xdr:to>
      <xdr:col>2</xdr:col>
      <xdr:colOff>1409700</xdr:colOff>
      <xdr:row>26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000625"/>
          <a:ext cx="1400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24</xdr:row>
      <xdr:rowOff>0</xdr:rowOff>
    </xdr:from>
    <xdr:to>
      <xdr:col>2</xdr:col>
      <xdr:colOff>1409700</xdr:colOff>
      <xdr:row>25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714875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11</xdr:row>
      <xdr:rowOff>190500</xdr:rowOff>
    </xdr:from>
    <xdr:to>
      <xdr:col>13</xdr:col>
      <xdr:colOff>933450</xdr:colOff>
      <xdr:row>40</xdr:row>
      <xdr:rowOff>123825</xdr:rowOff>
    </xdr:to>
    <xdr:graphicFrame>
      <xdr:nvGraphicFramePr>
        <xdr:cNvPr id="3" name="Diagramm 14"/>
        <xdr:cNvGraphicFramePr/>
      </xdr:nvGraphicFramePr>
      <xdr:xfrm>
        <a:off x="7524750" y="2352675"/>
        <a:ext cx="54959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819150</xdr:colOff>
      <xdr:row>4</xdr:row>
      <xdr:rowOff>57150</xdr:rowOff>
    </xdr:from>
    <xdr:ext cx="3848100" cy="3028950"/>
    <xdr:sp>
      <xdr:nvSpPr>
        <xdr:cNvPr id="4" name="Rechteck 1"/>
        <xdr:cNvSpPr>
          <a:spLocks/>
        </xdr:cNvSpPr>
      </xdr:nvSpPr>
      <xdr:spPr>
        <a:xfrm>
          <a:off x="7496175" y="876300"/>
          <a:ext cx="38481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Nur sinnvolle Vorgaben</a:t>
          </a:r>
          <a:r>
            <a:rPr lang="en-US" cap="none" sz="1100" b="1" i="0" u="none" baseline="0">
              <a:solidFill>
                <a:srgbClr val="993300"/>
              </a:solidFill>
            </a:rPr>
            <a:t> führen zu einem vernünftigen Ergebnis.</a:t>
          </a:r>
          <a:r>
            <a:rPr lang="en-US" cap="none" sz="5400" b="0" i="0" u="none" baseline="0">
              <a:solidFill>
                <a:srgbClr val="993300"/>
              </a:solidFill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</a:rPr>
            <a:t>Prüfe deshalb Deine Angaben und das Diagramm auf Plausibilität!</a:t>
          </a:r>
          <a:r>
            <a:rPr lang="en-US" cap="none" sz="5400" b="0" i="0" u="none" baseline="0">
              <a:solidFill>
                <a:srgbClr val="993300"/>
              </a:solidFill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</a:rPr>
            <a:t>Sensible inputs lead to a rational result only.</a:t>
          </a:r>
          <a:r>
            <a:rPr lang="en-US" cap="none" sz="5400" b="0" i="0" u="none" baseline="0">
              <a:solidFill>
                <a:srgbClr val="993300"/>
              </a:solidFill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</a:rPr>
            <a:t>Therefore check your inputs and the diagram for plausibility</a:t>
          </a:r>
          <a:r>
            <a:rPr lang="en-US" cap="none" sz="1100" b="1" i="0" u="none" baseline="0">
              <a:solidFill>
                <a:srgbClr val="000000"/>
              </a:solidFill>
            </a:rPr>
            <a:t>!</a:t>
          </a:r>
        </a:p>
      </xdr:txBody>
    </xdr:sp>
    <xdr:clientData/>
  </xdr:oneCellAnchor>
  <xdr:twoCellAnchor editAs="oneCell">
    <xdr:from>
      <xdr:col>11</xdr:col>
      <xdr:colOff>647700</xdr:colOff>
      <xdr:row>1</xdr:row>
      <xdr:rowOff>28575</xdr:rowOff>
    </xdr:from>
    <xdr:to>
      <xdr:col>13</xdr:col>
      <xdr:colOff>904875</xdr:colOff>
      <xdr:row>11</xdr:row>
      <xdr:rowOff>171450</xdr:rowOff>
    </xdr:to>
    <xdr:pic>
      <xdr:nvPicPr>
        <xdr:cNvPr id="5" name="Bild 1" descr="Bild_Stirling_4"/>
        <xdr:cNvPicPr preferRelativeResize="1">
          <a:picLocks noChangeAspect="1"/>
        </xdr:cNvPicPr>
      </xdr:nvPicPr>
      <xdr:blipFill>
        <a:blip r:embed="rId4"/>
        <a:srcRect l="9556" t="2282" r="29010" b="14155"/>
        <a:stretch>
          <a:fillRect/>
        </a:stretch>
      </xdr:blipFill>
      <xdr:spPr>
        <a:xfrm>
          <a:off x="11210925" y="257175"/>
          <a:ext cx="1781175" cy="2076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114300</xdr:rowOff>
    </xdr:from>
    <xdr:to>
      <xdr:col>29</xdr:col>
      <xdr:colOff>161925</xdr:colOff>
      <xdr:row>27</xdr:row>
      <xdr:rowOff>152400</xdr:rowOff>
    </xdr:to>
    <xdr:graphicFrame>
      <xdr:nvGraphicFramePr>
        <xdr:cNvPr id="1" name="Diagramm 4"/>
        <xdr:cNvGraphicFramePr/>
      </xdr:nvGraphicFramePr>
      <xdr:xfrm>
        <a:off x="14163675" y="114300"/>
        <a:ext cx="4543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304800</xdr:colOff>
      <xdr:row>39</xdr:row>
      <xdr:rowOff>104775</xdr:rowOff>
    </xdr:from>
    <xdr:ext cx="2857500" cy="1733550"/>
    <xdr:sp>
      <xdr:nvSpPr>
        <xdr:cNvPr id="2" name="Rechteck 1"/>
        <xdr:cNvSpPr>
          <a:spLocks/>
        </xdr:cNvSpPr>
      </xdr:nvSpPr>
      <xdr:spPr>
        <a:xfrm rot="10800000" flipV="1">
          <a:off x="15801975" y="6800850"/>
          <a:ext cx="28575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2286000</xdr:colOff>
      <xdr:row>10</xdr:row>
      <xdr:rowOff>161925</xdr:rowOff>
    </xdr:from>
    <xdr:ext cx="4057650" cy="942975"/>
    <xdr:sp>
      <xdr:nvSpPr>
        <xdr:cNvPr id="1" name="Rechteck 1"/>
        <xdr:cNvSpPr>
          <a:spLocks/>
        </xdr:cNvSpPr>
      </xdr:nvSpPr>
      <xdr:spPr>
        <a:xfrm rot="19045944">
          <a:off x="2286000" y="1905000"/>
          <a:ext cx="40576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C0C0C0"/>
              </a:solidFill>
            </a:rPr>
            <a:t>Nicht zu Ende gedacht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kkoame.ne.jp/~khirata/academic/schmidt/schmid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8"/>
  </sheetPr>
  <dimension ref="A1:S46"/>
  <sheetViews>
    <sheetView showGridLines="0" tabSelected="1" defaultGridColor="0" zoomScale="75" zoomScaleNormal="75" zoomScalePageLayoutView="70" colorId="22" workbookViewId="0" topLeftCell="A2">
      <selection activeCell="D26" sqref="D26"/>
    </sheetView>
  </sheetViews>
  <sheetFormatPr defaultColWidth="11.421875" defaultRowHeight="12.75"/>
  <cols>
    <col min="1" max="1" width="43.8515625" style="0" customWidth="1"/>
    <col min="2" max="2" width="13.28125" style="0" customWidth="1"/>
    <col min="3" max="3" width="21.7109375" style="0" customWidth="1"/>
    <col min="4" max="4" width="9.8515625" style="0" customWidth="1"/>
    <col min="5" max="5" width="9.8515625" style="0" hidden="1" customWidth="1"/>
    <col min="7" max="7" width="12.57421875" style="0" customWidth="1"/>
    <col min="14" max="14" width="14.00390625" style="0" customWidth="1"/>
    <col min="15" max="15" width="39.57421875" style="0" hidden="1" customWidth="1"/>
    <col min="16" max="16" width="16.00390625" style="0" hidden="1" customWidth="1"/>
    <col min="17" max="17" width="3.7109375" style="0" customWidth="1"/>
    <col min="18" max="18" width="5.28125" style="0" customWidth="1"/>
    <col min="19" max="19" width="1.8515625" style="0" customWidth="1"/>
  </cols>
  <sheetData>
    <row r="1" spans="1:19" ht="18">
      <c r="A1" s="465" t="s">
        <v>280</v>
      </c>
      <c r="B1" s="466"/>
      <c r="C1" s="466"/>
      <c r="D1" s="466"/>
      <c r="E1" s="466"/>
      <c r="F1" s="466"/>
      <c r="G1" s="466"/>
      <c r="H1" s="467"/>
      <c r="I1" s="467"/>
      <c r="J1" s="467"/>
      <c r="K1" s="467"/>
      <c r="L1" s="467"/>
      <c r="M1" s="467"/>
      <c r="N1" s="271"/>
      <c r="O1" s="295" t="s">
        <v>258</v>
      </c>
      <c r="P1" s="151"/>
      <c r="Q1" s="151"/>
      <c r="R1" s="151"/>
      <c r="S1" s="151"/>
    </row>
    <row r="2" spans="1:19" ht="16.5">
      <c r="A2" s="283" t="s">
        <v>7</v>
      </c>
      <c r="B2" s="152"/>
      <c r="C2" s="152"/>
      <c r="D2" s="236" t="s">
        <v>226</v>
      </c>
      <c r="E2" s="153" t="s">
        <v>138</v>
      </c>
      <c r="F2" s="237" t="s">
        <v>316</v>
      </c>
      <c r="G2" s="237" t="s">
        <v>315</v>
      </c>
      <c r="H2" s="151"/>
      <c r="I2" s="151"/>
      <c r="J2" s="151"/>
      <c r="K2" s="151"/>
      <c r="L2" s="151"/>
      <c r="M2" s="151"/>
      <c r="N2" s="151"/>
      <c r="O2" s="295" t="s">
        <v>259</v>
      </c>
      <c r="P2" s="151"/>
      <c r="Q2" s="151"/>
      <c r="R2" s="151"/>
      <c r="S2" s="151"/>
    </row>
    <row r="3" spans="1:19" ht="15">
      <c r="A3" s="155" t="s">
        <v>147</v>
      </c>
      <c r="B3" s="156" t="s">
        <v>1</v>
      </c>
      <c r="C3" s="157" t="s">
        <v>6</v>
      </c>
      <c r="D3" s="336">
        <v>108.385214</v>
      </c>
      <c r="E3" s="159">
        <v>9.28166</v>
      </c>
      <c r="F3" s="193">
        <v>9.28166</v>
      </c>
      <c r="G3" s="194">
        <v>108.385214</v>
      </c>
      <c r="H3" s="151"/>
      <c r="I3" s="151"/>
      <c r="J3" s="151"/>
      <c r="K3" s="151"/>
      <c r="L3" s="151"/>
      <c r="M3" s="151"/>
      <c r="N3" s="151"/>
      <c r="O3" s="295" t="s">
        <v>257</v>
      </c>
      <c r="P3" s="151"/>
      <c r="Q3" s="151"/>
      <c r="R3" s="151"/>
      <c r="S3" s="151"/>
    </row>
    <row r="4" spans="1:19" ht="15">
      <c r="A4" s="155" t="s">
        <v>148</v>
      </c>
      <c r="B4" s="156" t="s">
        <v>146</v>
      </c>
      <c r="C4" s="157" t="s">
        <v>6</v>
      </c>
      <c r="D4" s="336">
        <v>108.385214</v>
      </c>
      <c r="E4" s="159">
        <v>9.28166</v>
      </c>
      <c r="F4" s="356">
        <v>9.28166</v>
      </c>
      <c r="G4" s="194">
        <v>108.385214</v>
      </c>
      <c r="H4" s="151"/>
      <c r="I4" s="151"/>
      <c r="J4" s="151"/>
      <c r="K4" s="151"/>
      <c r="L4" s="151"/>
      <c r="M4" s="151"/>
      <c r="N4" s="151"/>
      <c r="O4" s="296" t="s">
        <v>261</v>
      </c>
      <c r="P4" s="151"/>
      <c r="Q4" s="151"/>
      <c r="R4" s="151"/>
      <c r="S4" s="151"/>
    </row>
    <row r="5" spans="1:19" ht="15">
      <c r="A5" s="155" t="s">
        <v>149</v>
      </c>
      <c r="B5" s="156" t="s">
        <v>3</v>
      </c>
      <c r="C5" s="157" t="s">
        <v>6</v>
      </c>
      <c r="D5" s="446">
        <v>54.1926</v>
      </c>
      <c r="E5" s="159">
        <v>4.64083</v>
      </c>
      <c r="F5" s="193">
        <v>4.64083</v>
      </c>
      <c r="G5" s="193">
        <v>54.1926</v>
      </c>
      <c r="H5" s="151"/>
      <c r="I5" s="151"/>
      <c r="J5" s="151"/>
      <c r="K5" s="151"/>
      <c r="L5" s="151"/>
      <c r="M5" s="151"/>
      <c r="N5" s="151"/>
      <c r="O5" s="296" t="s">
        <v>254</v>
      </c>
      <c r="P5" s="151"/>
      <c r="Q5" s="151"/>
      <c r="R5" s="151"/>
      <c r="S5" s="151"/>
    </row>
    <row r="6" spans="1:19" ht="15">
      <c r="A6" s="155" t="s">
        <v>150</v>
      </c>
      <c r="B6" s="156" t="s">
        <v>154</v>
      </c>
      <c r="C6" s="157" t="s">
        <v>6</v>
      </c>
      <c r="D6" s="446">
        <v>54.1926</v>
      </c>
      <c r="E6" s="193">
        <v>4.64083</v>
      </c>
      <c r="F6" s="193">
        <v>4.64083</v>
      </c>
      <c r="G6" s="193">
        <v>54.1926</v>
      </c>
      <c r="H6" s="151"/>
      <c r="I6" s="151"/>
      <c r="J6" s="151"/>
      <c r="K6" s="151"/>
      <c r="L6" s="151"/>
      <c r="M6" s="151"/>
      <c r="N6" s="151"/>
      <c r="O6" s="296" t="s">
        <v>255</v>
      </c>
      <c r="P6" s="151"/>
      <c r="Q6" s="151"/>
      <c r="R6" s="151"/>
      <c r="S6" s="151"/>
    </row>
    <row r="7" spans="1:19" ht="15">
      <c r="A7" s="155" t="s">
        <v>152</v>
      </c>
      <c r="B7" s="156" t="s">
        <v>4</v>
      </c>
      <c r="C7" s="157" t="s">
        <v>6</v>
      </c>
      <c r="D7" s="447">
        <v>250</v>
      </c>
      <c r="E7" s="195">
        <v>1000000</v>
      </c>
      <c r="F7" s="355">
        <v>1000000</v>
      </c>
      <c r="G7" s="355">
        <v>1000000</v>
      </c>
      <c r="H7" s="151"/>
      <c r="I7" s="151"/>
      <c r="J7" s="151"/>
      <c r="K7" s="151"/>
      <c r="L7" s="151"/>
      <c r="M7" s="151"/>
      <c r="N7" s="151"/>
      <c r="O7" s="297" t="s">
        <v>256</v>
      </c>
      <c r="P7" s="151"/>
      <c r="Q7" s="151"/>
      <c r="R7" s="151"/>
      <c r="S7" s="151"/>
    </row>
    <row r="8" spans="1:19" ht="15">
      <c r="A8" s="155" t="s">
        <v>151</v>
      </c>
      <c r="B8" s="156" t="s">
        <v>155</v>
      </c>
      <c r="C8" s="157" t="s">
        <v>6</v>
      </c>
      <c r="D8" s="447">
        <v>250</v>
      </c>
      <c r="E8" s="195">
        <v>1000000</v>
      </c>
      <c r="F8" s="355">
        <v>1000000</v>
      </c>
      <c r="G8" s="355">
        <v>1000000</v>
      </c>
      <c r="H8" s="151"/>
      <c r="I8" s="151"/>
      <c r="J8" s="151"/>
      <c r="K8" s="151"/>
      <c r="L8" s="151"/>
      <c r="M8" s="151"/>
      <c r="N8" s="151"/>
      <c r="O8" s="298" t="s">
        <v>262</v>
      </c>
      <c r="P8" s="151"/>
      <c r="Q8" s="151"/>
      <c r="R8" s="151"/>
      <c r="S8" s="151"/>
    </row>
    <row r="9" spans="1:19" ht="15">
      <c r="A9" s="155" t="s">
        <v>153</v>
      </c>
      <c r="B9" s="161" t="s">
        <v>14</v>
      </c>
      <c r="C9" s="157" t="s">
        <v>0</v>
      </c>
      <c r="D9" s="335"/>
      <c r="E9" s="158" t="s">
        <v>0</v>
      </c>
      <c r="F9" s="196"/>
      <c r="G9" s="196"/>
      <c r="H9" s="151"/>
      <c r="I9" s="151"/>
      <c r="J9" s="151"/>
      <c r="K9" s="151"/>
      <c r="L9" s="151"/>
      <c r="M9" s="151"/>
      <c r="N9" s="151"/>
      <c r="O9" s="298" t="s">
        <v>260</v>
      </c>
      <c r="P9" s="151"/>
      <c r="Q9" s="151"/>
      <c r="R9" s="151"/>
      <c r="S9" s="151"/>
    </row>
    <row r="10" spans="1:19" ht="15">
      <c r="A10" s="155" t="s">
        <v>228</v>
      </c>
      <c r="B10" s="161" t="s">
        <v>17</v>
      </c>
      <c r="C10" s="157" t="s">
        <v>6</v>
      </c>
      <c r="D10" s="336">
        <v>90</v>
      </c>
      <c r="E10" s="158">
        <v>90</v>
      </c>
      <c r="F10" s="194">
        <v>90</v>
      </c>
      <c r="G10" s="194">
        <v>90</v>
      </c>
      <c r="H10" s="151"/>
      <c r="I10" s="151"/>
      <c r="J10" s="151"/>
      <c r="K10" s="151"/>
      <c r="L10" s="151"/>
      <c r="M10" s="151"/>
      <c r="N10" s="151"/>
      <c r="O10" s="294"/>
      <c r="P10" s="151"/>
      <c r="Q10" s="151"/>
      <c r="R10" s="151"/>
      <c r="S10" s="151"/>
    </row>
    <row r="11" spans="1:19" ht="15.75">
      <c r="A11" s="155" t="s">
        <v>232</v>
      </c>
      <c r="B11" s="156" t="s">
        <v>9</v>
      </c>
      <c r="C11" s="157" t="s">
        <v>6</v>
      </c>
      <c r="D11" s="455">
        <v>2000</v>
      </c>
      <c r="E11" s="326">
        <v>2000</v>
      </c>
      <c r="F11" s="195">
        <v>2000</v>
      </c>
      <c r="G11" s="415">
        <v>2000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5" t="s">
        <v>231</v>
      </c>
      <c r="B12" s="156" t="s">
        <v>8</v>
      </c>
      <c r="C12" s="157" t="s">
        <v>6</v>
      </c>
      <c r="D12" s="334">
        <v>300000</v>
      </c>
      <c r="E12" s="327">
        <v>200</v>
      </c>
      <c r="F12" s="195">
        <v>200</v>
      </c>
      <c r="G12" s="195">
        <v>300000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">
      <c r="A13" s="155" t="s">
        <v>229</v>
      </c>
      <c r="B13" s="156" t="s">
        <v>145</v>
      </c>
      <c r="C13" s="157" t="s">
        <v>6</v>
      </c>
      <c r="D13" s="334">
        <v>300000</v>
      </c>
      <c r="E13" s="327">
        <v>200</v>
      </c>
      <c r="F13" s="195">
        <v>200</v>
      </c>
      <c r="G13" s="195">
        <v>300000</v>
      </c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ht="15.75" thickBot="1">
      <c r="A14" s="242" t="s">
        <v>347</v>
      </c>
      <c r="B14" s="243" t="s">
        <v>156</v>
      </c>
      <c r="C14" s="244" t="s">
        <v>6</v>
      </c>
      <c r="D14" s="358">
        <v>100000</v>
      </c>
      <c r="E14" s="328">
        <v>200</v>
      </c>
      <c r="F14" s="329">
        <v>200</v>
      </c>
      <c r="G14" s="329">
        <v>100000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ht="17.25" thickTop="1">
      <c r="A15" s="284" t="s">
        <v>10</v>
      </c>
      <c r="B15" s="238" t="s">
        <v>2</v>
      </c>
      <c r="C15" s="238" t="s">
        <v>2</v>
      </c>
      <c r="D15" s="168"/>
      <c r="E15" s="238" t="s">
        <v>2</v>
      </c>
      <c r="F15" s="251"/>
      <c r="G15" s="2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 ht="15">
      <c r="A16" s="163" t="s">
        <v>294</v>
      </c>
      <c r="B16" s="161" t="s">
        <v>125</v>
      </c>
      <c r="C16" s="157" t="s">
        <v>0</v>
      </c>
      <c r="D16" s="337">
        <v>1.293</v>
      </c>
      <c r="E16" s="164">
        <v>1.293</v>
      </c>
      <c r="F16" s="197">
        <v>1.293</v>
      </c>
      <c r="G16" s="197">
        <v>1.293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ht="15">
      <c r="A17" s="155" t="s">
        <v>11</v>
      </c>
      <c r="B17" s="156" t="s">
        <v>122</v>
      </c>
      <c r="C17" s="157" t="s">
        <v>0</v>
      </c>
      <c r="D17" s="165">
        <v>287</v>
      </c>
      <c r="E17" s="165">
        <v>287</v>
      </c>
      <c r="F17" s="198">
        <v>287</v>
      </c>
      <c r="G17" s="198">
        <v>287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15">
      <c r="A18" s="155" t="s">
        <v>118</v>
      </c>
      <c r="B18" s="156" t="s">
        <v>123</v>
      </c>
      <c r="C18" s="167"/>
      <c r="D18" s="166">
        <v>1018</v>
      </c>
      <c r="E18" s="192">
        <v>1018</v>
      </c>
      <c r="F18" s="194">
        <v>1018</v>
      </c>
      <c r="G18" s="194">
        <v>1018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15">
      <c r="A19" s="155" t="s">
        <v>119</v>
      </c>
      <c r="B19" s="156" t="s">
        <v>128</v>
      </c>
      <c r="C19" s="157" t="s">
        <v>6</v>
      </c>
      <c r="D19" s="168">
        <v>20</v>
      </c>
      <c r="E19" s="168">
        <v>20</v>
      </c>
      <c r="F19" s="199">
        <v>20</v>
      </c>
      <c r="G19" s="199">
        <v>20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15">
      <c r="A20" s="155" t="s">
        <v>230</v>
      </c>
      <c r="B20" s="156" t="s">
        <v>129</v>
      </c>
      <c r="C20" s="157" t="s">
        <v>6</v>
      </c>
      <c r="D20" s="332">
        <v>600</v>
      </c>
      <c r="E20" s="166">
        <v>400</v>
      </c>
      <c r="F20" s="357">
        <v>400</v>
      </c>
      <c r="G20" s="357">
        <v>600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ht="15">
      <c r="A21" s="155" t="s">
        <v>295</v>
      </c>
      <c r="B21" s="156" t="s">
        <v>157</v>
      </c>
      <c r="C21" s="157" t="s">
        <v>6</v>
      </c>
      <c r="D21" s="333">
        <v>30</v>
      </c>
      <c r="E21" s="169">
        <v>30</v>
      </c>
      <c r="F21" s="194">
        <v>30</v>
      </c>
      <c r="G21" s="194">
        <v>30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ht="15">
      <c r="A22" s="155" t="s">
        <v>239</v>
      </c>
      <c r="B22" s="156" t="s">
        <v>130</v>
      </c>
      <c r="C22" s="87" t="str">
        <f>Val!C27</f>
        <v>(TH-TC)/ln(TH/TC)</v>
      </c>
      <c r="D22" s="162">
        <f>Val!D27-273</f>
        <v>265.6491386665932</v>
      </c>
      <c r="E22" s="160" t="e">
        <f>Val!#REF!-273</f>
        <v>#REF!</v>
      </c>
      <c r="F22" s="200">
        <v>215</v>
      </c>
      <c r="G22" s="200">
        <v>266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15.75" thickBot="1">
      <c r="A23" s="242" t="s">
        <v>13</v>
      </c>
      <c r="B23" s="243" t="s">
        <v>117</v>
      </c>
      <c r="C23" s="244" t="s">
        <v>0</v>
      </c>
      <c r="D23" s="338">
        <v>101.3</v>
      </c>
      <c r="E23" s="245">
        <v>101.3</v>
      </c>
      <c r="F23" s="246">
        <v>101.3</v>
      </c>
      <c r="G23" s="246">
        <v>101.3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ht="17.25" thickTop="1">
      <c r="A24" s="284" t="s">
        <v>296</v>
      </c>
      <c r="B24" s="238"/>
      <c r="C24" s="239"/>
      <c r="D24" s="240"/>
      <c r="E24" s="241"/>
      <c r="F24" s="201"/>
      <c r="G24" s="20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ht="20.25">
      <c r="A25" s="155" t="s">
        <v>233</v>
      </c>
      <c r="B25" s="161" t="s">
        <v>99</v>
      </c>
      <c r="C25" s="170"/>
      <c r="D25" s="162">
        <v>0</v>
      </c>
      <c r="E25" s="189"/>
      <c r="F25" s="201"/>
      <c r="G25" s="20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ht="21" thickBot="1">
      <c r="A26" s="242" t="s">
        <v>100</v>
      </c>
      <c r="B26" s="243"/>
      <c r="C26" s="247"/>
      <c r="D26" s="248">
        <v>0</v>
      </c>
      <c r="E26" s="249"/>
      <c r="F26" s="250"/>
      <c r="G26" s="250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ht="18.75" thickTop="1">
      <c r="A27" s="470" t="s">
        <v>127</v>
      </c>
      <c r="B27" s="471"/>
      <c r="C27" s="471"/>
      <c r="D27" s="471"/>
      <c r="E27" s="471"/>
      <c r="F27" s="471"/>
      <c r="G27" s="472"/>
      <c r="H27" s="171"/>
      <c r="I27" s="171"/>
      <c r="J27" s="171"/>
      <c r="K27" s="171"/>
      <c r="L27" s="171"/>
      <c r="M27" s="171"/>
      <c r="N27" s="171"/>
      <c r="O27" s="151"/>
      <c r="P27" s="151"/>
      <c r="Q27" s="151"/>
      <c r="R27" s="151"/>
      <c r="S27" s="151"/>
    </row>
    <row r="28" spans="1:19" ht="22.5" customHeight="1">
      <c r="A28" s="186" t="s">
        <v>205</v>
      </c>
      <c r="B28" s="468" t="s">
        <v>130</v>
      </c>
      <c r="C28" s="191" t="s">
        <v>298</v>
      </c>
      <c r="D28" s="354">
        <v>1</v>
      </c>
      <c r="E28" s="154"/>
      <c r="F28" s="457">
        <v>0</v>
      </c>
      <c r="G28" s="200">
        <v>1</v>
      </c>
      <c r="H28" s="171"/>
      <c r="I28" s="171"/>
      <c r="J28" s="171"/>
      <c r="K28" s="171"/>
      <c r="L28" s="171"/>
      <c r="M28" s="171"/>
      <c r="N28" s="171"/>
      <c r="O28" s="151"/>
      <c r="P28" s="151"/>
      <c r="Q28" s="151"/>
      <c r="R28" s="151"/>
      <c r="S28" s="151"/>
    </row>
    <row r="29" spans="1:19" ht="17.25" customHeight="1" thickBot="1">
      <c r="A29" s="264" t="s">
        <v>205</v>
      </c>
      <c r="B29" s="469"/>
      <c r="C29" s="265" t="str">
        <f>C22</f>
        <v>(TH-TC)/ln(TH/TC)</v>
      </c>
      <c r="D29" s="419">
        <f>D22</f>
        <v>265.6491386665932</v>
      </c>
      <c r="E29" s="420"/>
      <c r="F29" s="352">
        <v>215</v>
      </c>
      <c r="G29" s="353">
        <v>266</v>
      </c>
      <c r="H29" s="171"/>
      <c r="I29" s="171"/>
      <c r="J29" s="171"/>
      <c r="K29" s="171"/>
      <c r="L29" s="171"/>
      <c r="M29" s="171"/>
      <c r="N29" s="171"/>
      <c r="O29" s="151"/>
      <c r="P29" s="151"/>
      <c r="Q29" s="151"/>
      <c r="R29" s="151"/>
      <c r="S29" s="151"/>
    </row>
    <row r="30" spans="1:19" ht="16.5" thickBot="1" thickTop="1">
      <c r="A30" s="349" t="s">
        <v>305</v>
      </c>
      <c r="B30" s="350" t="s">
        <v>317</v>
      </c>
      <c r="C30" s="351" t="s">
        <v>307</v>
      </c>
      <c r="D30" s="421">
        <f>1-(273+D21)/(273+D20)</f>
        <v>0.6529209621993127</v>
      </c>
      <c r="E30" s="422">
        <f>1-(273+E21)/(273+E20)</f>
        <v>0.549777117384844</v>
      </c>
      <c r="F30" s="423">
        <f>1-(273+F21)/(273+F20)</f>
        <v>0.549777117384844</v>
      </c>
      <c r="G30" s="423">
        <f>1-(273+G21)/(273+G20)</f>
        <v>0.6529209621993127</v>
      </c>
      <c r="H30" s="171"/>
      <c r="I30" s="171"/>
      <c r="J30" s="171"/>
      <c r="K30" s="171"/>
      <c r="L30" s="171"/>
      <c r="M30" s="171"/>
      <c r="N30" s="171"/>
      <c r="O30" s="151"/>
      <c r="P30" s="151"/>
      <c r="Q30" s="151"/>
      <c r="R30" s="151"/>
      <c r="S30" s="151"/>
    </row>
    <row r="31" spans="1:19" ht="14.25" thickTop="1">
      <c r="A31" s="463" t="s">
        <v>297</v>
      </c>
      <c r="B31" s="262" t="s">
        <v>2</v>
      </c>
      <c r="C31" s="272" t="s">
        <v>2</v>
      </c>
      <c r="D31" s="424" t="s">
        <v>2</v>
      </c>
      <c r="E31" s="425"/>
      <c r="F31" s="263"/>
      <c r="G31" s="273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</row>
    <row r="32" spans="1:19" ht="15">
      <c r="A32" s="255" t="s">
        <v>242</v>
      </c>
      <c r="B32" s="252" t="s">
        <v>234</v>
      </c>
      <c r="C32" s="254"/>
      <c r="D32" s="452">
        <f>Val!D59</f>
        <v>53.30285422938786</v>
      </c>
      <c r="E32" s="425"/>
      <c r="F32" s="416">
        <v>-0.02068</v>
      </c>
      <c r="G32" s="253">
        <v>-53.3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</row>
    <row r="33" spans="1:19" ht="13.5">
      <c r="A33" s="255" t="s">
        <v>241</v>
      </c>
      <c r="B33" s="261" t="s">
        <v>235</v>
      </c>
      <c r="C33" s="254"/>
      <c r="D33" s="426">
        <f>Val!D56</f>
        <v>1776.761807646262</v>
      </c>
      <c r="E33" s="425"/>
      <c r="F33" s="253">
        <v>0.689</v>
      </c>
      <c r="G33" s="414">
        <v>1776.7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</row>
    <row r="34" spans="1:19" ht="15">
      <c r="A34" s="258" t="s">
        <v>69</v>
      </c>
      <c r="B34" s="252" t="s">
        <v>236</v>
      </c>
      <c r="C34" s="256"/>
      <c r="D34" s="427">
        <f>Val!D44</f>
        <v>176819.94201828653</v>
      </c>
      <c r="E34" s="428" t="s">
        <v>69</v>
      </c>
      <c r="F34" s="253" t="s">
        <v>322</v>
      </c>
      <c r="G34" s="412">
        <v>176000</v>
      </c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</row>
    <row r="35" spans="1:19" ht="15">
      <c r="A35" s="258" t="s">
        <v>215</v>
      </c>
      <c r="B35" s="252" t="s">
        <v>237</v>
      </c>
      <c r="C35" s="257"/>
      <c r="D35" s="427">
        <f>Val!D43</f>
        <v>101299.99999999999</v>
      </c>
      <c r="E35" s="428" t="s">
        <v>69</v>
      </c>
      <c r="F35" s="412">
        <v>101300</v>
      </c>
      <c r="G35" s="412">
        <v>101300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</row>
    <row r="36" spans="1:19" ht="15">
      <c r="A36" s="258" t="s">
        <v>211</v>
      </c>
      <c r="B36" s="252" t="s">
        <v>238</v>
      </c>
      <c r="C36" s="256"/>
      <c r="D36" s="427">
        <f>Val!D45</f>
        <v>58034.68705435243</v>
      </c>
      <c r="E36" s="428" t="s">
        <v>211</v>
      </c>
      <c r="F36" s="253" t="s">
        <v>321</v>
      </c>
      <c r="G36" s="412">
        <v>58000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</row>
    <row r="37" spans="1:19" ht="15.75" thickBot="1">
      <c r="A37" s="276" t="s">
        <v>247</v>
      </c>
      <c r="B37" s="317" t="s">
        <v>299</v>
      </c>
      <c r="C37" s="268"/>
      <c r="D37" s="429">
        <f>Val!D51*10^9</f>
        <v>2407106.559365113</v>
      </c>
      <c r="E37" s="430"/>
      <c r="F37" s="269" t="s">
        <v>0</v>
      </c>
      <c r="G37" s="270" t="s">
        <v>0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</row>
    <row r="38" spans="1:19" ht="14.25" thickTop="1">
      <c r="A38" s="464" t="s">
        <v>206</v>
      </c>
      <c r="B38" s="318"/>
      <c r="C38" s="362" t="s">
        <v>343</v>
      </c>
      <c r="D38" s="431"/>
      <c r="E38" s="432"/>
      <c r="F38" s="266" t="s">
        <v>214</v>
      </c>
      <c r="G38" s="267" t="s">
        <v>214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</row>
    <row r="39" spans="1:19" ht="15">
      <c r="A39" s="260" t="s">
        <v>242</v>
      </c>
      <c r="B39" s="319" t="s">
        <v>209</v>
      </c>
      <c r="C39" s="187"/>
      <c r="D39" s="453">
        <f>Val!D66</f>
        <v>50.944678909300606</v>
      </c>
      <c r="E39" s="432"/>
      <c r="F39" s="330">
        <v>0.020657221</v>
      </c>
      <c r="G39" s="202">
        <v>-53.23462521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</row>
    <row r="40" spans="1:19" ht="13.5">
      <c r="A40" s="260" t="s">
        <v>243</v>
      </c>
      <c r="B40" s="445" t="s">
        <v>210</v>
      </c>
      <c r="C40" s="187"/>
      <c r="D40" s="433">
        <f>Calc!O369</f>
        <v>1698.1559636433535</v>
      </c>
      <c r="E40" s="432"/>
      <c r="F40" s="417">
        <v>0.6886</v>
      </c>
      <c r="G40" s="413">
        <v>1776.652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</row>
    <row r="41" spans="1:19" ht="15">
      <c r="A41" s="259" t="s">
        <v>69</v>
      </c>
      <c r="B41" s="319" t="s">
        <v>212</v>
      </c>
      <c r="C41" s="188"/>
      <c r="D41" s="434">
        <f>Calc!M366</f>
        <v>169480.2356688658</v>
      </c>
      <c r="E41" s="434" t="str">
        <f>Calc!N366</f>
        <v>Arbeit</v>
      </c>
      <c r="F41" s="331">
        <v>151004</v>
      </c>
      <c r="G41" s="203">
        <v>176817</v>
      </c>
      <c r="H41" s="363"/>
      <c r="I41" s="364"/>
      <c r="J41" s="364"/>
      <c r="K41" s="364"/>
      <c r="L41" s="364"/>
      <c r="M41" s="364"/>
      <c r="N41" s="364"/>
      <c r="O41" s="151"/>
      <c r="P41" s="151"/>
      <c r="Q41" s="151"/>
      <c r="R41" s="151"/>
      <c r="S41" s="151"/>
    </row>
    <row r="42" spans="1:19" ht="14.25" customHeight="1">
      <c r="A42" s="259" t="s">
        <v>215</v>
      </c>
      <c r="B42" s="319" t="s">
        <v>216</v>
      </c>
      <c r="C42" s="190"/>
      <c r="D42" s="434">
        <f>Val!D43</f>
        <v>101299.99999999999</v>
      </c>
      <c r="E42" s="434">
        <f>E23*1000</f>
        <v>101300</v>
      </c>
      <c r="F42" s="331">
        <f>F23*1000</f>
        <v>101300</v>
      </c>
      <c r="G42" s="203">
        <v>101300</v>
      </c>
      <c r="H42" s="475" t="s">
        <v>313</v>
      </c>
      <c r="I42" s="476"/>
      <c r="J42" s="476"/>
      <c r="K42" s="476"/>
      <c r="L42" s="476"/>
      <c r="M42" s="476"/>
      <c r="N42" s="476"/>
      <c r="O42" s="151"/>
      <c r="P42" s="151"/>
      <c r="Q42" s="151"/>
      <c r="R42" s="151"/>
      <c r="S42" s="151"/>
    </row>
    <row r="43" spans="1:19" ht="14.25" customHeight="1">
      <c r="A43" s="259" t="s">
        <v>211</v>
      </c>
      <c r="B43" s="319" t="s">
        <v>213</v>
      </c>
      <c r="C43" s="188"/>
      <c r="D43" s="434">
        <f>Calc!M367</f>
        <v>57189.199899202365</v>
      </c>
      <c r="E43" s="434">
        <f>Calc!N367</f>
        <v>53.300148107617574</v>
      </c>
      <c r="F43" s="418">
        <v>66633</v>
      </c>
      <c r="G43" s="203">
        <v>58035</v>
      </c>
      <c r="H43" s="473" t="s">
        <v>314</v>
      </c>
      <c r="I43" s="474"/>
      <c r="J43" s="474"/>
      <c r="K43" s="474"/>
      <c r="L43" s="474"/>
      <c r="M43" s="474"/>
      <c r="N43" s="474"/>
      <c r="O43" s="151"/>
      <c r="P43" s="151"/>
      <c r="Q43" s="151"/>
      <c r="R43" s="151"/>
      <c r="S43" s="151"/>
    </row>
    <row r="44" spans="1:19" ht="15.75" thickBot="1">
      <c r="A44" s="277" t="s">
        <v>247</v>
      </c>
      <c r="B44" s="324" t="s">
        <v>248</v>
      </c>
      <c r="C44" s="278"/>
      <c r="D44" s="435">
        <f>Val!D51*10^9</f>
        <v>2407106.559365113</v>
      </c>
      <c r="E44" s="436"/>
      <c r="F44" s="437">
        <v>1672</v>
      </c>
      <c r="G44" s="438">
        <v>2407107</v>
      </c>
      <c r="H44" s="473"/>
      <c r="I44" s="474"/>
      <c r="J44" s="474"/>
      <c r="K44" s="474"/>
      <c r="L44" s="474"/>
      <c r="M44" s="474"/>
      <c r="N44" s="474"/>
      <c r="O44" s="154"/>
      <c r="P44" s="154"/>
      <c r="Q44" s="151"/>
      <c r="R44" s="151"/>
      <c r="S44" s="151"/>
    </row>
    <row r="45" spans="1:7" ht="13.5" thickTop="1">
      <c r="A45" s="21"/>
      <c r="B45" s="21"/>
      <c r="C45" s="21"/>
      <c r="D45" s="21"/>
      <c r="E45" s="21"/>
      <c r="F45" s="308"/>
      <c r="G45" s="308"/>
    </row>
    <row r="46" spans="1:7" ht="12.75">
      <c r="A46" s="21"/>
      <c r="B46" s="21"/>
      <c r="C46" s="21"/>
      <c r="D46" s="21"/>
      <c r="E46" s="21"/>
      <c r="F46" s="21"/>
      <c r="G46" s="21"/>
    </row>
  </sheetData>
  <sheetProtection sheet="1" objects="1" scenarios="1"/>
  <mergeCells count="5">
    <mergeCell ref="A1:M1"/>
    <mergeCell ref="B28:B29"/>
    <mergeCell ref="A27:G27"/>
    <mergeCell ref="H43:N44"/>
    <mergeCell ref="H42:N42"/>
  </mergeCells>
  <hyperlinks>
    <hyperlink ref="H42" r:id="rId1" display="http://www.bekkoame.ne.jp/~khirata/academic/schmidt/schmidt.htm"/>
  </hyperlinks>
  <printOptions/>
  <pageMargins left="0.3937007874015748" right="0.3937007874015748" top="0.7874015748031497" bottom="0.5118110236220472" header="0.1968503937007874" footer="0.2755905511811024"/>
  <pageSetup horizontalDpi="600" verticalDpi="600" orientation="landscape" paperSize="9" scale="70" r:id="rId5"/>
  <headerFooter alignWithMargins="0">
    <oddFooter>&amp;L&amp;"Arial Narrow,Standard"&amp;8&amp;F
www.jbladt.drupalgardens.com
&amp;C&amp;A
Alpha-Stirling&amp;R&amp;"Arial Narrow,Standard"&amp;8Bladt: 23.02.2012
Printed: &amp;D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H67"/>
  <sheetViews>
    <sheetView showGridLines="0" zoomScalePageLayoutView="0" workbookViewId="0" topLeftCell="A37">
      <selection activeCell="E65" sqref="E65"/>
    </sheetView>
  </sheetViews>
  <sheetFormatPr defaultColWidth="11.421875" defaultRowHeight="12.75"/>
  <cols>
    <col min="1" max="1" width="39.28125" style="0" customWidth="1"/>
    <col min="2" max="2" width="10.421875" style="0" bestFit="1" customWidth="1"/>
    <col min="3" max="3" width="38.7109375" style="0" bestFit="1" customWidth="1"/>
    <col min="4" max="4" width="9.140625" style="0" customWidth="1"/>
    <col min="5" max="5" width="8.00390625" style="0" customWidth="1"/>
    <col min="6" max="6" width="6.00390625" style="0" customWidth="1"/>
  </cols>
  <sheetData>
    <row r="1" ht="13.5">
      <c r="A1" s="138" t="s">
        <v>23</v>
      </c>
    </row>
    <row r="2" spans="1:4" ht="15">
      <c r="A2" s="58" t="s">
        <v>190</v>
      </c>
      <c r="B2" s="17" t="s">
        <v>16</v>
      </c>
      <c r="C2" s="59" t="s">
        <v>6</v>
      </c>
      <c r="D2" s="185">
        <f>Data!D3/1000</f>
        <v>0.10838521400000001</v>
      </c>
    </row>
    <row r="3" spans="1:4" ht="15">
      <c r="A3" s="58" t="s">
        <v>187</v>
      </c>
      <c r="B3" s="17" t="s">
        <v>170</v>
      </c>
      <c r="C3" s="59" t="s">
        <v>6</v>
      </c>
      <c r="D3" s="185">
        <f>Data!D4/1000</f>
        <v>0.10838521400000001</v>
      </c>
    </row>
    <row r="4" spans="1:4" ht="15">
      <c r="A4" s="58" t="s">
        <v>191</v>
      </c>
      <c r="B4" s="17" t="s">
        <v>18</v>
      </c>
      <c r="C4" s="59" t="s">
        <v>6</v>
      </c>
      <c r="D4" s="13">
        <f>Data!D5/1000</f>
        <v>0.0541926</v>
      </c>
    </row>
    <row r="5" spans="1:4" ht="15">
      <c r="A5" s="58" t="s">
        <v>186</v>
      </c>
      <c r="B5" s="17" t="s">
        <v>171</v>
      </c>
      <c r="C5" s="59" t="s">
        <v>6</v>
      </c>
      <c r="D5" s="13">
        <f>Data!D6/1000</f>
        <v>0.0541926</v>
      </c>
    </row>
    <row r="6" spans="1:4" ht="15">
      <c r="A6" s="58" t="s">
        <v>185</v>
      </c>
      <c r="B6" s="17" t="s">
        <v>19</v>
      </c>
      <c r="C6" s="59" t="s">
        <v>6</v>
      </c>
      <c r="D6" s="13">
        <f>Data!D7/1000</f>
        <v>0.25</v>
      </c>
    </row>
    <row r="7" spans="1:4" ht="15">
      <c r="A7" s="58" t="s">
        <v>184</v>
      </c>
      <c r="B7" s="17" t="s">
        <v>172</v>
      </c>
      <c r="C7" s="59" t="s">
        <v>6</v>
      </c>
      <c r="D7" s="13">
        <f>Data!D8/1000</f>
        <v>0.25</v>
      </c>
    </row>
    <row r="8" spans="1:7" ht="13.5">
      <c r="A8" s="58" t="s">
        <v>183</v>
      </c>
      <c r="B8" s="47" t="s">
        <v>5</v>
      </c>
      <c r="C8" s="17" t="s">
        <v>188</v>
      </c>
      <c r="D8" s="60" t="s">
        <v>96</v>
      </c>
      <c r="F8" s="9"/>
      <c r="G8" s="9"/>
    </row>
    <row r="9" spans="1:4" ht="13.5">
      <c r="A9" s="58" t="s">
        <v>182</v>
      </c>
      <c r="B9" s="47" t="s">
        <v>22</v>
      </c>
      <c r="C9" s="47" t="s">
        <v>37</v>
      </c>
      <c r="D9" s="13">
        <f>PI()/180*Data!D10</f>
        <v>1.5707963267948966</v>
      </c>
    </row>
    <row r="10" spans="1:4" ht="14.25">
      <c r="A10" s="137" t="s">
        <v>21</v>
      </c>
      <c r="B10" s="2"/>
      <c r="C10" s="2"/>
      <c r="D10" s="8"/>
    </row>
    <row r="11" spans="1:4" ht="15">
      <c r="A11" s="58" t="s">
        <v>140</v>
      </c>
      <c r="B11" s="17" t="s">
        <v>142</v>
      </c>
      <c r="C11" s="17" t="s">
        <v>143</v>
      </c>
      <c r="D11" s="16">
        <f>D4*PI()*D2^2/4</f>
        <v>0.0004999999350300061</v>
      </c>
    </row>
    <row r="12" spans="1:4" ht="15">
      <c r="A12" s="58" t="s">
        <v>141</v>
      </c>
      <c r="B12" s="17" t="s">
        <v>169</v>
      </c>
      <c r="C12" s="17" t="s">
        <v>346</v>
      </c>
      <c r="D12" s="16">
        <f>D5*PI()*D3^2/4</f>
        <v>0.0004999999350300061</v>
      </c>
    </row>
    <row r="13" spans="1:4" ht="15">
      <c r="A13" s="58" t="s">
        <v>175</v>
      </c>
      <c r="B13" s="17" t="s">
        <v>20</v>
      </c>
      <c r="C13" s="59" t="s">
        <v>6</v>
      </c>
      <c r="D13" s="16">
        <f>Data!D12/10^9</f>
        <v>0.0003</v>
      </c>
    </row>
    <row r="14" spans="1:4" ht="15">
      <c r="A14" s="58" t="s">
        <v>180</v>
      </c>
      <c r="B14" s="17" t="s">
        <v>167</v>
      </c>
      <c r="C14" s="59" t="s">
        <v>6</v>
      </c>
      <c r="D14" s="16">
        <f>Data!D13/10^9</f>
        <v>0.0003</v>
      </c>
    </row>
    <row r="15" spans="1:4" ht="15">
      <c r="A15" s="58" t="s">
        <v>181</v>
      </c>
      <c r="B15" s="17" t="s">
        <v>168</v>
      </c>
      <c r="C15" s="59" t="s">
        <v>6</v>
      </c>
      <c r="D15" s="16">
        <f>Data!D14/10^9</f>
        <v>0.0001</v>
      </c>
    </row>
    <row r="16" spans="1:4" ht="13.5" hidden="1">
      <c r="A16" s="58" t="s">
        <v>179</v>
      </c>
      <c r="B16" s="47" t="s">
        <v>22</v>
      </c>
      <c r="C16" s="47" t="s">
        <v>37</v>
      </c>
      <c r="D16" s="13">
        <f>D9</f>
        <v>1.5707963267948966</v>
      </c>
    </row>
    <row r="17" spans="1:4" ht="13.5">
      <c r="A17" s="58" t="s">
        <v>178</v>
      </c>
      <c r="B17" s="47" t="s">
        <v>24</v>
      </c>
      <c r="C17" s="47" t="s">
        <v>38</v>
      </c>
      <c r="D17" s="61">
        <f>PI()/30*Data!D11</f>
        <v>209.43951023931953</v>
      </c>
    </row>
    <row r="18" spans="1:4" ht="14.25">
      <c r="A18" s="58" t="s">
        <v>176</v>
      </c>
      <c r="B18" s="47" t="s">
        <v>35</v>
      </c>
      <c r="C18" s="17" t="s">
        <v>39</v>
      </c>
      <c r="D18" s="14">
        <f>D4/D6</f>
        <v>0.2167704</v>
      </c>
    </row>
    <row r="19" spans="1:4" ht="14.25">
      <c r="A19" s="58" t="s">
        <v>177</v>
      </c>
      <c r="B19" s="47" t="s">
        <v>173</v>
      </c>
      <c r="C19" s="17" t="s">
        <v>174</v>
      </c>
      <c r="D19" s="14">
        <f>D5/D7</f>
        <v>0.2167704</v>
      </c>
    </row>
    <row r="20" spans="1:4" ht="14.25">
      <c r="A20" s="6" t="s">
        <v>10</v>
      </c>
      <c r="B20" s="2" t="s">
        <v>2</v>
      </c>
      <c r="C20" s="2" t="s">
        <v>2</v>
      </c>
      <c r="D20" s="7">
        <f>Data!D15</f>
        <v>0</v>
      </c>
    </row>
    <row r="21" spans="1:5" ht="12.75">
      <c r="A21" s="81" t="s">
        <v>124</v>
      </c>
      <c r="B21" s="48" t="s">
        <v>125</v>
      </c>
      <c r="C21" s="43"/>
      <c r="D21" s="43">
        <v>1.293</v>
      </c>
      <c r="E21" s="21"/>
    </row>
    <row r="22" spans="1:4" ht="15">
      <c r="A22" s="58" t="s">
        <v>11</v>
      </c>
      <c r="B22" s="17" t="s">
        <v>15</v>
      </c>
      <c r="C22" s="59" t="s">
        <v>6</v>
      </c>
      <c r="D22" s="19">
        <f>Data!D17</f>
        <v>287</v>
      </c>
    </row>
    <row r="23" spans="1:8" ht="15">
      <c r="A23" s="58" t="s">
        <v>118</v>
      </c>
      <c r="B23" s="17" t="s">
        <v>121</v>
      </c>
      <c r="C23" s="59" t="s">
        <v>6</v>
      </c>
      <c r="D23" s="19">
        <f>Data!D18</f>
        <v>1018</v>
      </c>
      <c r="H23" s="149"/>
    </row>
    <row r="24" spans="1:4" ht="14.25">
      <c r="A24" s="58" t="s">
        <v>119</v>
      </c>
      <c r="B24" s="17" t="s">
        <v>120</v>
      </c>
      <c r="C24" s="17" t="s">
        <v>131</v>
      </c>
      <c r="D24" s="19">
        <f>Data!D19+273</f>
        <v>293</v>
      </c>
    </row>
    <row r="25" spans="1:4" ht="14.25">
      <c r="A25" s="58" t="s">
        <v>189</v>
      </c>
      <c r="B25" s="17" t="s">
        <v>12</v>
      </c>
      <c r="C25" s="17" t="s">
        <v>132</v>
      </c>
      <c r="D25" s="19">
        <f>Data!D20+273</f>
        <v>873</v>
      </c>
    </row>
    <row r="26" spans="1:4" ht="14.25">
      <c r="A26" s="58" t="s">
        <v>279</v>
      </c>
      <c r="B26" s="17" t="s">
        <v>164</v>
      </c>
      <c r="C26" s="17" t="s">
        <v>165</v>
      </c>
      <c r="D26" s="19">
        <f>Data!D21+273</f>
        <v>303</v>
      </c>
    </row>
    <row r="27" spans="1:6" ht="14.25">
      <c r="A27" s="58" t="s">
        <v>193</v>
      </c>
      <c r="B27" s="17" t="s">
        <v>30</v>
      </c>
      <c r="C27" s="87" t="str">
        <f>IF(Data!D28=1,"(TH-TC)/ln(TH/TC)","(TH+TC)/2")</f>
        <v>(TH-TC)/ln(TH/TC)</v>
      </c>
      <c r="D27" s="89">
        <f>IF(Data!D28=1,(D25-D26)/LN(D25/D26),(D25+D26)/2)</f>
        <v>538.6491386665932</v>
      </c>
      <c r="E27" s="293">
        <f>Data!D28</f>
        <v>1</v>
      </c>
      <c r="F27" s="282" t="s">
        <v>249</v>
      </c>
    </row>
    <row r="28" spans="1:4" ht="15">
      <c r="A28" s="58" t="s">
        <v>13</v>
      </c>
      <c r="B28" s="17" t="s">
        <v>72</v>
      </c>
      <c r="C28" s="59" t="s">
        <v>6</v>
      </c>
      <c r="D28" s="139">
        <f>Data!D23*10^3</f>
        <v>101300</v>
      </c>
    </row>
    <row r="29" spans="1:4" ht="14.25">
      <c r="A29" s="58" t="s">
        <v>40</v>
      </c>
      <c r="B29" s="17" t="s">
        <v>71</v>
      </c>
      <c r="C29" s="17" t="s">
        <v>41</v>
      </c>
      <c r="D29" s="139">
        <f>D28</f>
        <v>101300</v>
      </c>
    </row>
    <row r="30" spans="1:4" ht="13.5" hidden="1">
      <c r="A30" s="18" t="s">
        <v>87</v>
      </c>
      <c r="D30" s="140"/>
    </row>
    <row r="31" spans="1:4" ht="15" hidden="1">
      <c r="A31" s="3" t="s">
        <v>84</v>
      </c>
      <c r="B31" s="4" t="s">
        <v>26</v>
      </c>
      <c r="C31" s="5" t="s">
        <v>6</v>
      </c>
      <c r="D31" s="141" t="e">
        <f>PI()/180*Data!#REF!</f>
        <v>#REF!</v>
      </c>
    </row>
    <row r="32" spans="1:4" ht="15" hidden="1">
      <c r="A32" s="3" t="s">
        <v>25</v>
      </c>
      <c r="B32" s="2" t="s">
        <v>27</v>
      </c>
      <c r="C32" s="5" t="s">
        <v>6</v>
      </c>
      <c r="D32" s="142" t="e">
        <f>Data!#REF!+273</f>
        <v>#REF!</v>
      </c>
    </row>
    <row r="33" spans="1:4" ht="14.25" hidden="1">
      <c r="A33" s="3" t="s">
        <v>28</v>
      </c>
      <c r="B33" s="2" t="s">
        <v>29</v>
      </c>
      <c r="C33" s="2" t="s">
        <v>41</v>
      </c>
      <c r="D33" s="143" t="e">
        <f>Data!#REF!*100</f>
        <v>#REF!</v>
      </c>
    </row>
    <row r="34" spans="1:4" ht="15" hidden="1">
      <c r="A34" s="3" t="s">
        <v>85</v>
      </c>
      <c r="B34" s="2" t="s">
        <v>67</v>
      </c>
      <c r="C34" s="1" t="s">
        <v>88</v>
      </c>
      <c r="D34" s="143" t="s">
        <v>86</v>
      </c>
    </row>
    <row r="35" ht="12.75" hidden="1">
      <c r="D35" s="140"/>
    </row>
    <row r="36" spans="1:4" ht="13.5">
      <c r="A36" s="137" t="s">
        <v>42</v>
      </c>
      <c r="D36" s="140"/>
    </row>
    <row r="37" spans="1:4" ht="14.25">
      <c r="A37" s="67" t="s">
        <v>43</v>
      </c>
      <c r="B37" s="17" t="s">
        <v>31</v>
      </c>
      <c r="C37" s="17" t="s">
        <v>166</v>
      </c>
      <c r="D37" s="144">
        <f>$D$11/$D$25+$D$14/$D$25+$D$13/$D$27+$D$12/$D$26+$D$15/$D$26</f>
        <v>3.453526844744908E-06</v>
      </c>
    </row>
    <row r="38" spans="1:4" ht="15">
      <c r="A38" s="67" t="s">
        <v>43</v>
      </c>
      <c r="B38" s="17" t="s">
        <v>32</v>
      </c>
      <c r="C38" s="17" t="s">
        <v>158</v>
      </c>
      <c r="D38" s="144">
        <f>((D11/D25+COS(D16)*D12/D26)^2+(SIN(D16)*D12/D26)^2)^(1/2)</f>
        <v>1.7467318757891461E-06</v>
      </c>
    </row>
    <row r="39" spans="1:4" ht="13.5">
      <c r="A39" s="67" t="s">
        <v>43</v>
      </c>
      <c r="B39" s="17" t="s">
        <v>34</v>
      </c>
      <c r="C39" s="17" t="s">
        <v>36</v>
      </c>
      <c r="D39" s="146">
        <f>D38/D37</f>
        <v>0.5057820466770303</v>
      </c>
    </row>
    <row r="40" spans="1:5" ht="14.25">
      <c r="A40" s="67" t="s">
        <v>44</v>
      </c>
      <c r="B40" s="47" t="s">
        <v>33</v>
      </c>
      <c r="C40" s="17" t="s">
        <v>159</v>
      </c>
      <c r="D40" s="146">
        <f>ATAN((SIN(D16)*D12/D26)/(D11/D25+COS(D16)*D12/D26))</f>
        <v>1.236726067168984</v>
      </c>
      <c r="E40" s="184">
        <f>180/PI()*D40</f>
        <v>70.85918406259555</v>
      </c>
    </row>
    <row r="41" spans="1:4" s="66" customFormat="1" ht="13.5">
      <c r="A41" s="63"/>
      <c r="B41" s="64"/>
      <c r="C41" s="65"/>
      <c r="D41" s="147"/>
    </row>
    <row r="42" spans="1:4" ht="15">
      <c r="A42" s="62" t="s">
        <v>68</v>
      </c>
      <c r="B42" s="17" t="s">
        <v>67</v>
      </c>
      <c r="C42" s="17" t="s">
        <v>91</v>
      </c>
      <c r="D42" s="144">
        <f>$D$29*$D$37*(1-$D$39^2)^0.5/$D$22</f>
        <v>0.0010515518726406305</v>
      </c>
    </row>
    <row r="43" spans="1:4" ht="15">
      <c r="A43" s="62" t="s">
        <v>79</v>
      </c>
      <c r="B43" s="17" t="s">
        <v>78</v>
      </c>
      <c r="C43" s="17" t="s">
        <v>77</v>
      </c>
      <c r="D43" s="139">
        <f>$D$42*$D$22/($D$37*(1-$D$39^2)^0.5)</f>
        <v>101299.99999999999</v>
      </c>
    </row>
    <row r="44" spans="1:4" ht="14.25">
      <c r="A44" s="62" t="s">
        <v>69</v>
      </c>
      <c r="B44" s="17" t="s">
        <v>73</v>
      </c>
      <c r="C44" s="17" t="s">
        <v>75</v>
      </c>
      <c r="D44" s="139">
        <f>$D$42*$D$22/($D$37*(1-$D$39))</f>
        <v>176819.94201828653</v>
      </c>
    </row>
    <row r="45" spans="1:4" ht="14.25">
      <c r="A45" s="62" t="s">
        <v>70</v>
      </c>
      <c r="B45" s="17" t="s">
        <v>74</v>
      </c>
      <c r="C45" s="17" t="s">
        <v>76</v>
      </c>
      <c r="D45" s="139">
        <f>D42*D22/(D37*(1+D39))</f>
        <v>58034.68705435243</v>
      </c>
    </row>
    <row r="46" spans="1:4" ht="13.5">
      <c r="A46" s="12" t="s">
        <v>2</v>
      </c>
      <c r="B46" s="4" t="s">
        <v>2</v>
      </c>
      <c r="C46" s="10" t="s">
        <v>2</v>
      </c>
      <c r="D46" s="148" t="s">
        <v>2</v>
      </c>
    </row>
    <row r="47" spans="1:6" ht="14.25">
      <c r="A47" s="62" t="s">
        <v>56</v>
      </c>
      <c r="B47" s="47" t="s">
        <v>54</v>
      </c>
      <c r="C47" s="47" t="s">
        <v>160</v>
      </c>
      <c r="D47" s="279">
        <f>(PI()+ATAN((SIN($D$16)*$D$12)/($D$11+COS($D$16)*$D$12)))</f>
        <v>3.9269908169872414</v>
      </c>
      <c r="E47" s="280">
        <f>(PI()+ATAN((SIN($D$16)*$D$12)/($D$11+COS($D$16)*$D$12)))/PI()*180</f>
        <v>225</v>
      </c>
      <c r="F47" s="150"/>
    </row>
    <row r="48" spans="1:6" ht="14.25">
      <c r="A48" s="62" t="s">
        <v>57</v>
      </c>
      <c r="B48" s="47" t="s">
        <v>55</v>
      </c>
      <c r="C48" s="17" t="s">
        <v>163</v>
      </c>
      <c r="D48" s="279">
        <f>(ATAN((SIN($D$16)*$D$12)/($D$11+COS($D$16)*$D$12)))</f>
        <v>0.7853981633974483</v>
      </c>
      <c r="E48" s="280">
        <f>(ATAN((SIN($D$16)*$D$12)/($D$11+COS($D$16)*$D$12)))/PI()*180</f>
        <v>45</v>
      </c>
      <c r="F48" s="150"/>
    </row>
    <row r="49" spans="1:5" ht="14.25">
      <c r="A49" s="67" t="s">
        <v>62</v>
      </c>
      <c r="B49" s="17" t="s">
        <v>58</v>
      </c>
      <c r="C49" s="17" t="s">
        <v>161</v>
      </c>
      <c r="D49" s="144">
        <f>$D$11*(1-COS($D$47))+$D$12*(1-COS($D$47-$D$16))</f>
        <v>0.0017071065593651132</v>
      </c>
      <c r="E49" s="281" t="s">
        <v>246</v>
      </c>
    </row>
    <row r="50" spans="1:5" ht="14.25">
      <c r="A50" s="67" t="s">
        <v>63</v>
      </c>
      <c r="B50" s="17" t="s">
        <v>104</v>
      </c>
      <c r="C50" s="17" t="s">
        <v>162</v>
      </c>
      <c r="D50" s="144">
        <f>$D$11*(1-COS(PI()/180*$D$48))+$D$12*(1-COS(PI()/180*$D$48-$D$16))</f>
        <v>0.00049319323371134</v>
      </c>
      <c r="E50" s="275">
        <f>D49-D50</f>
        <v>0.001213913325653773</v>
      </c>
    </row>
    <row r="51" spans="1:5" ht="14.25">
      <c r="A51" s="62" t="s">
        <v>203</v>
      </c>
      <c r="B51" s="17" t="s">
        <v>64</v>
      </c>
      <c r="C51" s="17" t="s">
        <v>244</v>
      </c>
      <c r="D51" s="144">
        <f>$D$49+$D$14+$D$13+$D$15</f>
        <v>0.002407106559365113</v>
      </c>
      <c r="E51" s="281" t="s">
        <v>246</v>
      </c>
    </row>
    <row r="52" spans="1:5" ht="15" thickBot="1">
      <c r="A52" s="179" t="s">
        <v>204</v>
      </c>
      <c r="B52" s="173" t="s">
        <v>65</v>
      </c>
      <c r="C52" s="173" t="s">
        <v>245</v>
      </c>
      <c r="D52" s="180">
        <f>$D$50+$D$14+$D$13+$D$15</f>
        <v>0.00119319323371134</v>
      </c>
      <c r="E52" s="275">
        <f>D51-D52</f>
        <v>0.0012139133256537729</v>
      </c>
    </row>
    <row r="53" spans="1:4" ht="15" thickBot="1" thickTop="1">
      <c r="A53" s="371" t="s">
        <v>127</v>
      </c>
      <c r="B53" s="372"/>
      <c r="C53" s="373"/>
      <c r="D53" s="374"/>
    </row>
    <row r="54" spans="1:4" ht="15" thickBot="1" thickTop="1">
      <c r="A54" s="367" t="s">
        <v>137</v>
      </c>
      <c r="B54" s="368" t="s">
        <v>323</v>
      </c>
      <c r="C54" s="370" t="s">
        <v>325</v>
      </c>
      <c r="D54" s="439">
        <f>1-D26/D25</f>
        <v>0.6529209621993127</v>
      </c>
    </row>
    <row r="55" spans="1:4" ht="13.5" customHeight="1" thickTop="1">
      <c r="A55" s="382" t="s">
        <v>240</v>
      </c>
      <c r="B55" s="204"/>
      <c r="C55" s="172"/>
      <c r="D55" s="383"/>
    </row>
    <row r="56" spans="1:8" s="85" customFormat="1" ht="15">
      <c r="A56" s="385" t="s">
        <v>339</v>
      </c>
      <c r="B56" s="87" t="s">
        <v>208</v>
      </c>
      <c r="C56" s="206" t="s">
        <v>223</v>
      </c>
      <c r="D56" s="456">
        <f>Val!$D$17*Val!$D$43*(1-(1-Val!$D$39^2)^0.5)/Val!$D$39*(SIN(Val!$D$40)*Val!$D$11-SIN(Val!$D$40+Val!$D$16)*Val!$D$12)</f>
        <v>1776.761807646262</v>
      </c>
      <c r="H56"/>
    </row>
    <row r="57" spans="1:4" ht="15">
      <c r="A57" s="208" t="s">
        <v>340</v>
      </c>
      <c r="B57" s="172" t="s">
        <v>309</v>
      </c>
      <c r="C57" s="369" t="s">
        <v>219</v>
      </c>
      <c r="D57" s="440">
        <f>2*PI()*D43*(1-(1-D39^2)^0.5)/D39*SIN(D40)*D11</f>
        <v>81.63752937237825</v>
      </c>
    </row>
    <row r="58" spans="1:5" ht="15">
      <c r="A58" s="205" t="s">
        <v>341</v>
      </c>
      <c r="B58" s="86" t="s">
        <v>220</v>
      </c>
      <c r="C58" s="206" t="s">
        <v>221</v>
      </c>
      <c r="D58" s="441">
        <f>2*PI()*Val!$D$43*(1-(1-Val!$D$39^2)^0.5)/Val!$D$39*(-SIN(Val!$D$40+Val!$D$16)*Val!$D$12)</f>
        <v>-28.33467514299039</v>
      </c>
      <c r="E58" s="78" t="s">
        <v>90</v>
      </c>
    </row>
    <row r="59" spans="1:5" ht="14.25">
      <c r="A59" s="205" t="s">
        <v>342</v>
      </c>
      <c r="B59" s="86" t="s">
        <v>207</v>
      </c>
      <c r="C59" s="384" t="s">
        <v>332</v>
      </c>
      <c r="D59" s="442">
        <f>2*PI()/D17*D56</f>
        <v>53.30285422938786</v>
      </c>
      <c r="E59" s="443">
        <f>D58+D57</f>
        <v>53.30285422938786</v>
      </c>
    </row>
    <row r="60" spans="1:4" s="85" customFormat="1" ht="15" hidden="1" thickTop="1">
      <c r="A60" s="208" t="s">
        <v>137</v>
      </c>
      <c r="B60" s="204" t="s">
        <v>217</v>
      </c>
      <c r="C60" s="172" t="s">
        <v>222</v>
      </c>
      <c r="D60" s="209">
        <f>D59/D57</f>
        <v>0.6529209621993127</v>
      </c>
    </row>
    <row r="61" spans="1:4" s="85" customFormat="1" ht="15" thickBot="1">
      <c r="A61" s="367" t="s">
        <v>137</v>
      </c>
      <c r="B61" s="368" t="s">
        <v>323</v>
      </c>
      <c r="C61" s="370" t="s">
        <v>325</v>
      </c>
      <c r="D61" s="439">
        <f>1-D26/D25</f>
        <v>0.6529209621993127</v>
      </c>
    </row>
    <row r="62" spans="1:4" s="85" customFormat="1" ht="14.25" thickTop="1">
      <c r="A62" s="210" t="s">
        <v>224</v>
      </c>
      <c r="B62" s="211"/>
      <c r="C62" s="212" t="s">
        <v>348</v>
      </c>
      <c r="D62" s="213"/>
    </row>
    <row r="63" spans="1:4" ht="13.5">
      <c r="A63" s="214" t="s">
        <v>338</v>
      </c>
      <c r="B63" s="215" t="s">
        <v>210</v>
      </c>
      <c r="C63" s="215" t="s">
        <v>345</v>
      </c>
      <c r="D63" s="456">
        <f>Calc!$O$369</f>
        <v>1698.1559636433535</v>
      </c>
    </row>
    <row r="64" spans="1:4" ht="13.5">
      <c r="A64" s="458" t="s">
        <v>340</v>
      </c>
      <c r="B64" s="459" t="s">
        <v>349</v>
      </c>
      <c r="C64" s="460" t="s">
        <v>353</v>
      </c>
      <c r="D64" s="461">
        <f>D66/(1-D26/D25)</f>
        <v>78.02579769792882</v>
      </c>
    </row>
    <row r="65" spans="1:4" ht="13.5">
      <c r="A65" s="462" t="s">
        <v>341</v>
      </c>
      <c r="B65" s="459" t="s">
        <v>350</v>
      </c>
      <c r="C65" s="460" t="s">
        <v>351</v>
      </c>
      <c r="D65" s="461">
        <f>(D66-D64)</f>
        <v>-27.081118788628217</v>
      </c>
    </row>
    <row r="66" spans="1:4" ht="14.25">
      <c r="A66" s="214" t="s">
        <v>342</v>
      </c>
      <c r="B66" s="215" t="s">
        <v>225</v>
      </c>
      <c r="C66" s="216" t="s">
        <v>352</v>
      </c>
      <c r="D66" s="442">
        <f>Calc!O367</f>
        <v>50.944678909300606</v>
      </c>
    </row>
    <row r="67" spans="1:4" ht="15" thickBot="1">
      <c r="A67" s="367" t="s">
        <v>306</v>
      </c>
      <c r="B67" s="368" t="s">
        <v>344</v>
      </c>
      <c r="C67" s="370" t="s">
        <v>325</v>
      </c>
      <c r="D67" s="444">
        <f>1-D26/D25</f>
        <v>0.6529209621993127</v>
      </c>
    </row>
    <row r="68" ht="13.5" thickTop="1"/>
  </sheetData>
  <sheetProtection sheet="1" objects="1" scenarios="1"/>
  <printOptions/>
  <pageMargins left="0.7" right="0.67" top="0.62" bottom="0.83" header="0.39" footer="0.51"/>
  <pageSetup horizontalDpi="600" verticalDpi="600" orientation="portrait" paperSize="9" scale="80" r:id="rId1"/>
  <headerFooter alignWithMargins="0">
    <oddHeader>&amp;C&amp;"Arial,Fett"&amp;14&amp;A</oddHeader>
    <oddFooter>&amp;L&amp;8&amp;F
&amp;"Arial,Fett"
&amp;C&amp;"Arial,Fett"&amp;14&amp;A&amp;RBladt: 10.02.2011
Print: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3"/>
  </sheetPr>
  <dimension ref="A1:X751"/>
  <sheetViews>
    <sheetView zoomScalePageLayoutView="0" workbookViewId="0" topLeftCell="K1">
      <selection activeCell="Y31" sqref="Y31"/>
    </sheetView>
  </sheetViews>
  <sheetFormatPr defaultColWidth="11.421875" defaultRowHeight="12.75"/>
  <cols>
    <col min="1" max="1" width="1.57421875" style="0" customWidth="1"/>
    <col min="2" max="2" width="5.7109375" style="0" bestFit="1" customWidth="1"/>
    <col min="3" max="3" width="7.00390625" style="0" bestFit="1" customWidth="1"/>
    <col min="4" max="4" width="8.7109375" style="0" bestFit="1" customWidth="1"/>
    <col min="5" max="5" width="9.57421875" style="0" bestFit="1" customWidth="1"/>
    <col min="6" max="6" width="9.28125" style="0" customWidth="1"/>
    <col min="7" max="7" width="8.57421875" style="0" customWidth="1"/>
    <col min="8" max="8" width="7.7109375" style="0" bestFit="1" customWidth="1"/>
    <col min="9" max="9" width="14.28125" style="0" bestFit="1" customWidth="1"/>
    <col min="10" max="10" width="12.28125" style="0" bestFit="1" customWidth="1"/>
    <col min="11" max="11" width="14.28125" style="0" bestFit="1" customWidth="1"/>
    <col min="12" max="12" width="9.8515625" style="0" bestFit="1" customWidth="1"/>
    <col min="13" max="13" width="8.8515625" style="0" customWidth="1"/>
    <col min="14" max="14" width="11.28125" style="0" bestFit="1" customWidth="1"/>
    <col min="15" max="15" width="8.8515625" style="0" bestFit="1" customWidth="1"/>
    <col min="16" max="16" width="7.7109375" style="0" bestFit="1" customWidth="1"/>
    <col min="17" max="17" width="8.7109375" style="0" bestFit="1" customWidth="1"/>
    <col min="18" max="18" width="9.28125" style="0" customWidth="1"/>
    <col min="19" max="19" width="9.8515625" style="0" customWidth="1"/>
    <col min="20" max="20" width="11.8515625" style="0" bestFit="1" customWidth="1"/>
    <col min="21" max="21" width="11.00390625" style="0" bestFit="1" customWidth="1"/>
    <col min="22" max="22" width="4.421875" style="274" customWidth="1"/>
    <col min="23" max="23" width="11.28125" style="0" bestFit="1" customWidth="1"/>
    <col min="24" max="24" width="9.00390625" style="0" customWidth="1"/>
  </cols>
  <sheetData>
    <row r="1" spans="9:23" ht="13.5">
      <c r="I1" s="486" t="s">
        <v>310</v>
      </c>
      <c r="J1" s="487"/>
      <c r="K1" s="487"/>
      <c r="L1" s="487"/>
      <c r="M1" s="487"/>
      <c r="N1" s="487"/>
      <c r="O1" s="487"/>
      <c r="P1" s="487"/>
      <c r="R1" s="485" t="s">
        <v>105</v>
      </c>
      <c r="S1" s="485"/>
      <c r="T1" s="485"/>
      <c r="U1" s="485"/>
      <c r="W1" s="309" t="s">
        <v>90</v>
      </c>
    </row>
    <row r="2" spans="2:23" ht="13.5">
      <c r="B2" s="477" t="s">
        <v>45</v>
      </c>
      <c r="C2" s="477"/>
      <c r="D2" s="478" t="s">
        <v>45</v>
      </c>
      <c r="E2" s="478"/>
      <c r="F2" s="483" t="s">
        <v>60</v>
      </c>
      <c r="G2" s="483"/>
      <c r="H2" s="34" t="s">
        <v>90</v>
      </c>
      <c r="I2" s="481" t="s">
        <v>59</v>
      </c>
      <c r="J2" s="482"/>
      <c r="K2" s="35" t="s">
        <v>90</v>
      </c>
      <c r="L2" s="479" t="s">
        <v>49</v>
      </c>
      <c r="M2" s="480"/>
      <c r="N2" s="488" t="s">
        <v>288</v>
      </c>
      <c r="O2" s="489"/>
      <c r="P2" s="483" t="s">
        <v>102</v>
      </c>
      <c r="Q2" s="484"/>
      <c r="R2" s="481" t="s">
        <v>134</v>
      </c>
      <c r="S2" s="482"/>
      <c r="T2" s="479" t="s">
        <v>133</v>
      </c>
      <c r="U2" s="480"/>
      <c r="W2" s="312" t="s">
        <v>289</v>
      </c>
    </row>
    <row r="3" spans="2:23" ht="13.5">
      <c r="B3" s="32" t="s">
        <v>46</v>
      </c>
      <c r="C3" s="32" t="s">
        <v>47</v>
      </c>
      <c r="D3" s="36" t="s">
        <v>45</v>
      </c>
      <c r="E3" s="36" t="s">
        <v>45</v>
      </c>
      <c r="F3" s="37" t="s">
        <v>50</v>
      </c>
      <c r="G3" s="37" t="s">
        <v>106</v>
      </c>
      <c r="H3" s="34" t="s">
        <v>66</v>
      </c>
      <c r="I3" s="38" t="s">
        <v>50</v>
      </c>
      <c r="J3" s="38" t="s">
        <v>106</v>
      </c>
      <c r="K3" s="35" t="s">
        <v>66</v>
      </c>
      <c r="L3" s="17" t="s">
        <v>50</v>
      </c>
      <c r="M3" s="17" t="s">
        <v>106</v>
      </c>
      <c r="N3" s="17" t="s">
        <v>50</v>
      </c>
      <c r="O3" s="17" t="s">
        <v>106</v>
      </c>
      <c r="P3" s="37" t="s">
        <v>50</v>
      </c>
      <c r="Q3" s="37" t="s">
        <v>80</v>
      </c>
      <c r="R3" s="38" t="s">
        <v>50</v>
      </c>
      <c r="S3" s="38" t="s">
        <v>106</v>
      </c>
      <c r="T3" s="17" t="s">
        <v>50</v>
      </c>
      <c r="U3" s="17" t="s">
        <v>106</v>
      </c>
      <c r="W3" s="78" t="s">
        <v>287</v>
      </c>
    </row>
    <row r="4" spans="2:23" ht="14.25">
      <c r="B4" s="39" t="s">
        <v>48</v>
      </c>
      <c r="C4" s="39" t="s">
        <v>95</v>
      </c>
      <c r="D4" s="40" t="s">
        <v>5</v>
      </c>
      <c r="E4" s="40" t="s">
        <v>53</v>
      </c>
      <c r="F4" s="41" t="s">
        <v>61</v>
      </c>
      <c r="G4" s="41" t="s">
        <v>109</v>
      </c>
      <c r="H4" s="34" t="s">
        <v>112</v>
      </c>
      <c r="I4" s="42" t="s">
        <v>52</v>
      </c>
      <c r="J4" s="42" t="s">
        <v>108</v>
      </c>
      <c r="K4" s="35" t="s">
        <v>333</v>
      </c>
      <c r="L4" s="43" t="s">
        <v>51</v>
      </c>
      <c r="M4" s="43" t="s">
        <v>107</v>
      </c>
      <c r="N4" s="43" t="s">
        <v>101</v>
      </c>
      <c r="O4" s="43" t="s">
        <v>110</v>
      </c>
      <c r="P4" s="70" t="s">
        <v>103</v>
      </c>
      <c r="Q4" s="70" t="s">
        <v>111</v>
      </c>
      <c r="R4" s="42" t="s">
        <v>135</v>
      </c>
      <c r="S4" s="42" t="s">
        <v>136</v>
      </c>
      <c r="T4" s="75" t="s">
        <v>113</v>
      </c>
      <c r="U4" s="75" t="s">
        <v>312</v>
      </c>
      <c r="W4" s="78" t="s">
        <v>286</v>
      </c>
    </row>
    <row r="5" spans="2:24" ht="13.5">
      <c r="B5" s="233">
        <v>0</v>
      </c>
      <c r="C5" s="233">
        <f>B5-Data!$D$10</f>
        <v>-90</v>
      </c>
      <c r="D5" s="108">
        <f>PI()/180*B5</f>
        <v>0</v>
      </c>
      <c r="E5" s="108">
        <f>PI()/180*C5</f>
        <v>-1.5707963267948966</v>
      </c>
      <c r="F5" s="106">
        <f>Val!$D$11*(1-COS(D5))+Val!$D$12*(1-COS(E5))</f>
        <v>0.000499999935030006</v>
      </c>
      <c r="G5" s="106">
        <f>Val!$D$11*((1-COS(Calc!D5))+1/Val!$D$18*(1-(1-(Val!$D$18*SIN(Calc!D5))^2)^0.5))+Val!$D$12*((1-COS(Calc!E5))+1/Val!$D$19*(1-(1-(Val!$D$19*SIN(Calc!E5))^2)^0.5))</f>
        <v>0.0005548445588611936</v>
      </c>
      <c r="H5" s="106">
        <f>F5-G5</f>
        <v>-5.484462383118763E-05</v>
      </c>
      <c r="I5" s="106">
        <f>Val!$D$11*(1-COS(D5))+Val!$D$14+Val!$D$13+Val!$D$12*((1-COS(Calc!E5)))+Val!$D$15</f>
        <v>0.001199999935030006</v>
      </c>
      <c r="J5" s="106">
        <f>Val!$D$11*((1-COS(Calc!$D5))+1/Val!$D$18*(1-(1-(Val!$D$18*SIN(Calc!$D5))^2)^0.5))+Val!$D$14+Val!$D$13+Val!$D$12*((1-COS(Calc!$E5))+1/Val!$D$19*(1-(1-(Val!$D$19*SIN(Calc!$E5))^2)^0.5))+Val!$D$15</f>
        <v>0.0012548445588611936</v>
      </c>
      <c r="K5" s="234">
        <f>I5-J5</f>
        <v>-5.484462383118752E-05</v>
      </c>
      <c r="L5" s="228">
        <f>Val!$D$42*Val!$D$22/Val!$D$37/(1-Val!$D$39*COS(D5-Val!$D$40))</f>
        <v>104761.35636302036</v>
      </c>
      <c r="M5" s="228">
        <f>Val!$D$42*Val!$D$22/(Val!$D$11*((1-COS(Calc!D5))+1/Val!$D$18*(1-(1-(Val!$D$18*SIN(Calc!D5))^2)^0.5))/Val!$D$25+Val!$D$14/Val!$D$25+Val!$D$13/Val!$D$27+Val!$D$12*((1-COS(Calc!E5))+1/Val!$D$19*(1-(1-(Val!$D$19*SIN(Calc!E5))^2)^0.5))/Val!$D$26+Val!$D$15/Val!$D$26)</f>
        <v>98568.13654846342</v>
      </c>
      <c r="N5" s="235">
        <f>(L5+L6)/2*(I6-I5)</f>
        <v>-0.9107522890455907</v>
      </c>
      <c r="O5" s="235">
        <f>(M5+M6)/2*(J6-J5)</f>
        <v>-0.8566998975090557</v>
      </c>
      <c r="P5" s="106">
        <f>F5-F6</f>
        <v>8.650049672849838E-06</v>
      </c>
      <c r="Q5" s="106">
        <f>G5-G6</f>
        <v>8.65045158709673E-06</v>
      </c>
      <c r="R5" s="107">
        <f aca="true" t="shared" si="0" ref="R5:R68">I5/$J$366</f>
        <v>0.48748357674254517</v>
      </c>
      <c r="S5" s="107">
        <f aca="true" t="shared" si="1" ref="S5:S68">J5/$J$366</f>
        <v>0.5097634557740871</v>
      </c>
      <c r="T5" s="110">
        <f aca="true" t="shared" si="2" ref="T5:T68">L5/$M$366</f>
        <v>0.6181331761168034</v>
      </c>
      <c r="U5" s="110">
        <f aca="true" t="shared" si="3" ref="U5:U68">M5/$M$366</f>
        <v>0.5815907451358989</v>
      </c>
      <c r="V5" s="310" t="s">
        <v>283</v>
      </c>
      <c r="W5" s="402">
        <f>(M5-Val!$D$28)*PI()/4*Val!$D$2^2*(SIN(D5)+Val!$D$18/2*SIN(2*D5)/(1-Val!$D$18^2*SIN(D5)^2)^0.5)*Val!$D$4*(D6-D5)+(M5-Val!$D$28)*PI()/4*Val!$D$3^2*(SIN(E5)+Val!$D$19/2*SIN(2*E5)/(1-Val!$D$19^2*SIN(E5)^2)^0.5)*Val!$D$5*(E6-E5)</f>
        <v>0.02384000287433492</v>
      </c>
      <c r="X5" s="411"/>
    </row>
    <row r="6" spans="2:23" ht="13.5">
      <c r="B6" s="32">
        <v>1</v>
      </c>
      <c r="C6" s="32">
        <f>B6-Data!$D$10</f>
        <v>-89</v>
      </c>
      <c r="D6" s="30">
        <f>PI()/180*B6</f>
        <v>0.017453292519943295</v>
      </c>
      <c r="E6" s="30">
        <f>PI()/180*C6</f>
        <v>-1.5533430342749532</v>
      </c>
      <c r="F6" s="26">
        <f>Val!$D$11*(1-COS(D6))+Val!$D$12*(1-COS(E6))</f>
        <v>0.0004913498853571562</v>
      </c>
      <c r="G6" s="26">
        <f>Val!$D$11*((1-COS(Calc!D6))+1/Val!$D$18*(1-(1-(Val!$D$18*SIN(Calc!D6))^2)^0.5))+Val!$D$12*((1-COS(Calc!E6))+1/Val!$D$19*(1-(1-(Val!$D$19*SIN(Calc!E6))^2)^0.5))</f>
        <v>0.0005461941072740969</v>
      </c>
      <c r="H6" s="26">
        <f>F6-G6</f>
        <v>-5.4844221916940735E-05</v>
      </c>
      <c r="I6" s="22">
        <f>Val!$D$11*(1-COS(D6))+Val!$D$14+Val!$D$13+Val!$D$12*((1-COS(Calc!E6)))+Val!$D$15</f>
        <v>0.001191349885357156</v>
      </c>
      <c r="J6" s="22">
        <f>Val!$D$11*((1-COS(Calc!$D6))+1/Val!$D$18*(1-(1-(Val!$D$18*SIN(Calc!$D6))^2)^0.5))+Val!$D$14+Val!$D$13+Val!$D$12*((1-COS(Calc!$E6))+1/Val!$D$19*(1-(1-(Val!$D$19*SIN(Calc!$E6))^2)^0.5))+Val!$D$15</f>
        <v>0.0012461941072740969</v>
      </c>
      <c r="K6" s="44">
        <f>I6-J6</f>
        <v>-5.484422191694084E-05</v>
      </c>
      <c r="L6" s="50">
        <f>Val!$D$42*Val!$D$22/Val!$D$37/(1-Val!$D$39*COS(D6-Val!$D$40))</f>
        <v>105815.99833221854</v>
      </c>
      <c r="M6" s="50">
        <f>Val!$D$42*Val!$D$22/(Val!$D$11*((1-COS(Calc!D6))+1/Val!$D$18*(1-(1-(Val!$D$18*SIN(Calc!D6))^2)^0.5))/Val!$D$25+Val!$D$14/Val!$D$25+Val!$D$13/Val!$D$27+Val!$D$12*((1-COS(Calc!E6))+1/Val!$D$19*(1-(1-(Val!$D$19*SIN(Calc!E6))^2)^0.5))/Val!$D$26+Val!$D$15/Val!$D$26)</f>
        <v>99502.4240190183</v>
      </c>
      <c r="N6" s="16">
        <f>(L6+L7)/2*(I7-I6)</f>
        <v>-0.903459842438251</v>
      </c>
      <c r="O6" s="16">
        <f>(M6+M7)/2*(J7-J6)</f>
        <v>-0.8494332250987529</v>
      </c>
      <c r="P6" s="16">
        <f>F6-F7</f>
        <v>8.495109960106307E-06</v>
      </c>
      <c r="Q6" s="16">
        <f>G6-G7</f>
        <v>8.49631374370038E-06</v>
      </c>
      <c r="R6" s="13">
        <f t="shared" si="0"/>
        <v>0.483969612257692</v>
      </c>
      <c r="S6" s="13">
        <f t="shared" si="1"/>
        <v>0.506249328017063</v>
      </c>
      <c r="T6" s="13">
        <f t="shared" si="2"/>
        <v>0.6243559782331444</v>
      </c>
      <c r="U6" s="13">
        <f t="shared" si="3"/>
        <v>0.5871034084082131</v>
      </c>
      <c r="W6" s="387">
        <f>1*(M6-Val!$D$28)*PI()/4*Val!$D$2^2*(SIN(D6)+Val!$D$18/2*SIN(2*D6)/(1-Val!$D$18^2*SIN(D6)^2)^0.5)*Val!$D$4*(D6-D5)+1*(M6-Val!$D$28)*PI()/4*Val!$D$3^2*(SIN(E6)+Val!$D$19/2*SIN(2*E6)/(1-Val!$D$19^2*SIN(E6)^2)^0.5)*Val!$D$5*(E6-E5)</f>
        <v>0.015412090308654678</v>
      </c>
    </row>
    <row r="7" spans="2:23" ht="13.5">
      <c r="B7" s="32">
        <v>2</v>
      </c>
      <c r="C7" s="32">
        <f>B7-Data!$D$10</f>
        <v>-88</v>
      </c>
      <c r="D7" s="30">
        <f aca="true" t="shared" si="4" ref="D7:D33">PI()/180*B7</f>
        <v>0.03490658503988659</v>
      </c>
      <c r="E7" s="30">
        <f aca="true" t="shared" si="5" ref="E7:E33">PI()/180*C7</f>
        <v>-1.53588974175501</v>
      </c>
      <c r="F7" s="26">
        <f>Val!$D$11*(1-COS(D7))+Val!$D$12*(1-COS(E7))</f>
        <v>0.00048285477539704985</v>
      </c>
      <c r="G7" s="26">
        <f>Val!$D$11*((1-COS(Calc!D7))+1/Val!$D$18*(1-(1-(Val!$D$18*SIN(Calc!D7))^2)^0.5))+Val!$D$12*((1-COS(Calc!E7))+1/Val!$D$19*(1-(1-(Val!$D$19*SIN(Calc!E7))^2)^0.5))</f>
        <v>0.0005376977935303965</v>
      </c>
      <c r="H7" s="26">
        <f aca="true" t="shared" si="6" ref="H7:H33">F7-G7</f>
        <v>-5.484301813334666E-05</v>
      </c>
      <c r="I7" s="22">
        <f>Val!$D$11*(1-COS(D7))+Val!$D$14+Val!$D$13+Val!$D$12*((1-COS(Calc!E7)))+Val!$D$15</f>
        <v>0.0011828547753970498</v>
      </c>
      <c r="J7" s="22">
        <f>Val!$D$11*((1-COS(Calc!$D7))+1/Val!$D$18*(1-(1-(Val!$D$18*SIN(Calc!$D7))^2)^0.5))+Val!$D$14+Val!$D$13+Val!$D$12*((1-COS(Calc!$E7))+1/Val!$D$19*(1-(1-(Val!$D$19*SIN(Calc!$E7))^2)^0.5))+Val!$D$15</f>
        <v>0.0012376977935303966</v>
      </c>
      <c r="K7" s="44">
        <f aca="true" t="shared" si="7" ref="K7:K33">I7-J7</f>
        <v>-5.484301813334677E-05</v>
      </c>
      <c r="L7" s="50">
        <f>Val!$D$42*Val!$D$22/Val!$D$37/(1-Val!$D$39*COS(D7-Val!$D$40))</f>
        <v>106885.1548443689</v>
      </c>
      <c r="M7" s="50">
        <f>Val!$D$42*Val!$D$22/(Val!$D$11*((1-COS(Calc!D7))+1/Val!$D$18*(1-(1-(Val!$D$18*SIN(Calc!D7))^2)^0.5))/Val!$D$25+Val!$D$14/Val!$D$25+Val!$D$13/Val!$D$27+Val!$D$12*((1-COS(Calc!E7))+1/Val!$D$19*(1-(1-(Val!$D$19*SIN(Calc!E7))^2)^0.5))/Val!$D$26+Val!$D$15/Val!$D$26)</f>
        <v>100450.93239477441</v>
      </c>
      <c r="N7" s="16">
        <f aca="true" t="shared" si="8" ref="N7:N70">(L7+L8)/2*(I8-I7)</f>
        <v>-0.895680977780364</v>
      </c>
      <c r="O7" s="16">
        <f aca="true" t="shared" si="9" ref="O7:O70">(M7+M8)/2*(J8-J7)</f>
        <v>-0.8417332219936896</v>
      </c>
      <c r="P7" s="16">
        <f aca="true" t="shared" si="10" ref="P7:P70">F7-F8</f>
        <v>8.337582554575026E-06</v>
      </c>
      <c r="Q7" s="16">
        <f aca="true" t="shared" si="11" ref="Q7:Q70">G7-G8</f>
        <v>8.339582339643957E-06</v>
      </c>
      <c r="R7" s="13">
        <f t="shared" si="0"/>
        <v>0.4805185899140364</v>
      </c>
      <c r="S7" s="13">
        <f t="shared" si="1"/>
        <v>0.5027978166527709</v>
      </c>
      <c r="T7" s="13">
        <f t="shared" si="2"/>
        <v>0.6306644218574458</v>
      </c>
      <c r="U7" s="13">
        <f t="shared" si="3"/>
        <v>0.5926999806103507</v>
      </c>
      <c r="W7" s="387">
        <f>1*(M7-Val!$D$28)*PI()/4*Val!$D$2^2*(SIN(D7)+Val!$D$18/2*SIN(2*D7)/(1-Val!$D$18^2*SIN(D7)^2)^0.5)*Val!$D$4*(D7-D6)+1*(M7-Val!$D$28)*PI()/4*Val!$D$3^2*(SIN(E7)+Val!$D$19/2*SIN(2*E7)/(1-Val!$D$19^2*SIN(E7)^2)^0.5)*Val!$D$5*(E7-E6)</f>
        <v>0.0071477709052686685</v>
      </c>
    </row>
    <row r="8" spans="2:23" ht="13.5">
      <c r="B8" s="32">
        <v>3</v>
      </c>
      <c r="C8" s="32">
        <f>B8-Data!$D$10</f>
        <v>-87</v>
      </c>
      <c r="D8" s="30">
        <f t="shared" si="4"/>
        <v>0.05235987755982989</v>
      </c>
      <c r="E8" s="30">
        <f t="shared" si="5"/>
        <v>-1.5184364492350666</v>
      </c>
      <c r="F8" s="26">
        <f>Val!$D$11*(1-COS(D8))+Val!$D$12*(1-COS(E8))</f>
        <v>0.00047451719284247483</v>
      </c>
      <c r="G8" s="26">
        <f>Val!$D$11*((1-COS(Calc!D8))+1/Val!$D$18*(1-(1-(Val!$D$18*SIN(Calc!D8))^2)^0.5))+Val!$D$12*((1-COS(Calc!E8))+1/Val!$D$19*(1-(1-(Val!$D$19*SIN(Calc!E8))^2)^0.5))</f>
        <v>0.0005293582111907526</v>
      </c>
      <c r="H8" s="26">
        <f t="shared" si="6"/>
        <v>-5.484101834827773E-05</v>
      </c>
      <c r="I8" s="22">
        <f>Val!$D$11*(1-COS(D8))+Val!$D$14+Val!$D$13+Val!$D$12*((1-COS(Calc!E8)))+Val!$D$15</f>
        <v>0.0011745171928424748</v>
      </c>
      <c r="J8" s="22">
        <f>Val!$D$11*((1-COS(Calc!$D8))+1/Val!$D$18*(1-(1-(Val!$D$18*SIN(Calc!$D8))^2)^0.5))+Val!$D$14+Val!$D$13+Val!$D$12*((1-COS(Calc!$E8))+1/Val!$D$19*(1-(1-(Val!$D$19*SIN(Calc!$E8))^2)^0.5))+Val!$D$15</f>
        <v>0.0012293582111907524</v>
      </c>
      <c r="K8" s="44">
        <f t="shared" si="7"/>
        <v>-5.4841018348277676E-05</v>
      </c>
      <c r="L8" s="50">
        <f>Val!$D$42*Val!$D$22/Val!$D$37/(1-Val!$D$39*COS(D8-Val!$D$40))</f>
        <v>107968.72442280003</v>
      </c>
      <c r="M8" s="50">
        <f>Val!$D$42*Val!$D$22/(Val!$D$11*((1-COS(Calc!D8))+1/Val!$D$18*(1-(1-(Val!$D$18*SIN(Calc!D8))^2)^0.5))/Val!$D$25+Val!$D$14/Val!$D$25+Val!$D$13/Val!$D$27+Val!$D$12*((1-COS(Calc!E8))+1/Val!$D$19*(1-(1-(Val!$D$19*SIN(Calc!E8))^2)^0.5))/Val!$D$26+Val!$D$15/Val!$D$26)</f>
        <v>101413.66650541559</v>
      </c>
      <c r="N8" s="16">
        <f t="shared" si="8"/>
        <v>-0.8874047937358277</v>
      </c>
      <c r="O8" s="16">
        <f t="shared" si="9"/>
        <v>-0.8335902334371047</v>
      </c>
      <c r="P8" s="16">
        <f t="shared" si="10"/>
        <v>8.177515440629414E-06</v>
      </c>
      <c r="Q8" s="16">
        <f t="shared" si="11"/>
        <v>8.18030147922298E-06</v>
      </c>
      <c r="R8" s="13">
        <f t="shared" si="0"/>
        <v>0.4771315609264149</v>
      </c>
      <c r="S8" s="13">
        <f t="shared" si="1"/>
        <v>0.49940997527979025</v>
      </c>
      <c r="T8" s="13">
        <f t="shared" si="2"/>
        <v>0.6370579082374638</v>
      </c>
      <c r="U8" s="13">
        <f t="shared" si="3"/>
        <v>0.5983804902393447</v>
      </c>
      <c r="W8" s="387">
        <f>1*(M8-Val!$D$28)*PI()/4*Val!$D$2^2*(SIN(D8)+Val!$D$18/2*SIN(2*D8)/(1-Val!$D$18^2*SIN(D8)^2)^0.5)*Val!$D$4*(D8-D7)+1*(M8-Val!$D$28)*PI()/4*Val!$D$3^2*(SIN(E8)+Val!$D$19/2*SIN(2*E8)/(1-Val!$D$19^2*SIN(E8)^2)^0.5)*Val!$D$5*(E8-E7)</f>
        <v>-0.0009389266073224272</v>
      </c>
    </row>
    <row r="9" spans="2:23" ht="13.5">
      <c r="B9" s="32">
        <v>4</v>
      </c>
      <c r="C9" s="32">
        <f>B9-Data!$D$10</f>
        <v>-86</v>
      </c>
      <c r="D9" s="30">
        <f t="shared" si="4"/>
        <v>0.06981317007977318</v>
      </c>
      <c r="E9" s="30">
        <f t="shared" si="5"/>
        <v>-1.5009831567151235</v>
      </c>
      <c r="F9" s="26">
        <f>Val!$D$11*(1-COS(D9))+Val!$D$12*(1-COS(E9))</f>
        <v>0.0004663396774018454</v>
      </c>
      <c r="G9" s="26">
        <f>Val!$D$11*((1-COS(Calc!D9))+1/Val!$D$18*(1-(1-(Val!$D$18*SIN(Calc!D9))^2)^0.5))+Val!$D$12*((1-COS(Calc!E9))+1/Val!$D$19*(1-(1-(Val!$D$19*SIN(Calc!E9))^2)^0.5))</f>
        <v>0.0005211779097115296</v>
      </c>
      <c r="H9" s="26">
        <f t="shared" si="6"/>
        <v>-5.4838232309684164E-05</v>
      </c>
      <c r="I9" s="22">
        <f>Val!$D$11*(1-COS(D9))+Val!$D$14+Val!$D$13+Val!$D$12*((1-COS(Calc!E9)))+Val!$D$15</f>
        <v>0.0011663396774018455</v>
      </c>
      <c r="J9" s="22">
        <f>Val!$D$11*((1-COS(Calc!$D9))+1/Val!$D$18*(1-(1-(Val!$D$18*SIN(Calc!$D9))^2)^0.5))+Val!$D$14+Val!$D$13+Val!$D$12*((1-COS(Calc!$E9))+1/Val!$D$19*(1-(1-(Val!$D$19*SIN(Calc!$E9))^2)^0.5))+Val!$D$15</f>
        <v>0.0012211779097115294</v>
      </c>
      <c r="K9" s="44">
        <f t="shared" si="7"/>
        <v>-5.483823230968384E-05</v>
      </c>
      <c r="L9" s="50">
        <f>Val!$D$42*Val!$D$22/Val!$D$37/(1-Val!$D$39*COS(D9-Val!$D$40))</f>
        <v>109066.58420574418</v>
      </c>
      <c r="M9" s="50">
        <f>Val!$D$42*Val!$D$22/(Val!$D$11*((1-COS(Calc!D9))+1/Val!$D$18*(1-(1-(Val!$D$18*SIN(Calc!D9))^2)^0.5))/Val!$D$25+Val!$D$14/Val!$D$25+Val!$D$13/Val!$D$27+Val!$D$12*((1-COS(Calc!E9))+1/Val!$D$19*(1-(1-(Val!$D$19*SIN(Calc!E9))^2)^0.5))/Val!$D$26+Val!$D$15/Val!$D$26)</f>
        <v>102390.61517156572</v>
      </c>
      <c r="N9" s="16">
        <f t="shared" si="8"/>
        <v>-0.8786203578860308</v>
      </c>
      <c r="O9" s="16">
        <f t="shared" si="9"/>
        <v>-0.8249945104501695</v>
      </c>
      <c r="P9" s="16">
        <f t="shared" si="10"/>
        <v>8.01495737626348E-06</v>
      </c>
      <c r="Q9" s="16">
        <f t="shared" si="11"/>
        <v>8.018516087946511E-06</v>
      </c>
      <c r="R9" s="13">
        <f t="shared" si="0"/>
        <v>0.4738095570166683</v>
      </c>
      <c r="S9" s="13">
        <f t="shared" si="1"/>
        <v>0.4960868395799335</v>
      </c>
      <c r="T9" s="13">
        <f t="shared" si="2"/>
        <v>0.643535712440481</v>
      </c>
      <c r="U9" s="13">
        <f t="shared" si="3"/>
        <v>0.6041448713324824</v>
      </c>
      <c r="W9" s="387">
        <f>1*(M9-Val!$D$28)*PI()/4*Val!$D$2^2*(SIN(D9)+Val!$D$18/2*SIN(2*D9)/(1-Val!$D$18^2*SIN(D9)^2)^0.5)*Val!$D$4*(D9-D8)+1*(M9-Val!$D$28)*PI()/4*Val!$D$3^2*(SIN(E9)+Val!$D$19/2*SIN(2*E9)/(1-Val!$D$19^2*SIN(E9)^2)^0.5)*Val!$D$5*(E9-E8)</f>
        <v>-0.00883378921868458</v>
      </c>
    </row>
    <row r="10" spans="2:23" ht="13.5">
      <c r="B10" s="32">
        <v>5</v>
      </c>
      <c r="C10" s="32">
        <f>B10-Data!$D$10</f>
        <v>-85</v>
      </c>
      <c r="D10" s="30">
        <f t="shared" si="4"/>
        <v>0.08726646259971647</v>
      </c>
      <c r="E10" s="30">
        <f t="shared" si="5"/>
        <v>-1.4835298641951802</v>
      </c>
      <c r="F10" s="26">
        <f>Val!$D$11*(1-COS(D10))+Val!$D$12*(1-COS(E10))</f>
        <v>0.00045832472002558193</v>
      </c>
      <c r="G10" s="26">
        <f>Val!$D$11*((1-COS(Calc!D10))+1/Val!$D$18*(1-(1-(Val!$D$18*SIN(Calc!D10))^2)^0.5))+Val!$D$12*((1-COS(Calc!E10))+1/Val!$D$19*(1-(1-(Val!$D$19*SIN(Calc!E10))^2)^0.5))</f>
        <v>0.0005131593936235831</v>
      </c>
      <c r="H10" s="26">
        <f t="shared" si="6"/>
        <v>-5.483467359800113E-05</v>
      </c>
      <c r="I10" s="22">
        <f>Val!$D$11*(1-COS(D10))+Val!$D$14+Val!$D$13+Val!$D$12*((1-COS(Calc!E10)))+Val!$D$15</f>
        <v>0.001158324720025582</v>
      </c>
      <c r="J10" s="22">
        <f>Val!$D$11*((1-COS(Calc!$D10))+1/Val!$D$18*(1-(1-(Val!$D$18*SIN(Calc!$D10))^2)^0.5))+Val!$D$14+Val!$D$13+Val!$D$12*((1-COS(Calc!$E10))+1/Val!$D$19*(1-(1-(Val!$D$19*SIN(Calc!$E10))^2)^0.5))+Val!$D$15</f>
        <v>0.0012131593936235833</v>
      </c>
      <c r="K10" s="44">
        <f t="shared" si="7"/>
        <v>-5.4834673598001295E-05</v>
      </c>
      <c r="L10" s="50">
        <f>Val!$D$42*Val!$D$22/Val!$D$37/(1-Val!$D$39*COS(D10-Val!$D$40))</f>
        <v>110178.58869762861</v>
      </c>
      <c r="M10" s="50">
        <f>Val!$D$42*Val!$D$22/(Val!$D$11*((1-COS(Calc!D10))+1/Val!$D$18*(1-(1-(Val!$D$18*SIN(Calc!D10))^2)^0.5))/Val!$D$25+Val!$D$14/Val!$D$25+Val!$D$13/Val!$D$27+Val!$D$12*((1-COS(Calc!E10))+1/Val!$D$19*(1-(1-(Val!$D$19*SIN(Calc!E10))^2)^0.5))/Val!$D$26+Val!$D$15/Val!$D$26)</f>
        <v>103381.7500395864</v>
      </c>
      <c r="N10" s="16">
        <f t="shared" si="8"/>
        <v>-0.8693167273168897</v>
      </c>
      <c r="O10" s="16">
        <f t="shared" si="9"/>
        <v>-0.815936224967625</v>
      </c>
      <c r="P10" s="16">
        <f t="shared" si="10"/>
        <v>7.849957878237977E-06</v>
      </c>
      <c r="Q10" s="16">
        <f t="shared" si="11"/>
        <v>7.854271916391377E-06</v>
      </c>
      <c r="R10" s="13">
        <f t="shared" si="0"/>
        <v>0.4705535900993682</v>
      </c>
      <c r="S10" s="13">
        <f t="shared" si="1"/>
        <v>0.4928294269846388</v>
      </c>
      <c r="T10" s="13">
        <f t="shared" si="2"/>
        <v>0.6500969759854356</v>
      </c>
      <c r="U10" s="13">
        <f t="shared" si="3"/>
        <v>0.6099929565921536</v>
      </c>
      <c r="W10" s="387">
        <f>1*(M10-Val!$D$28)*PI()/4*Val!$D$2^2*(SIN(D10)+Val!$D$18/2*SIN(2*D10)/(1-Val!$D$18^2*SIN(D10)^2)^0.5)*Val!$D$4*(D10-D9)+1*(M10-Val!$D$28)*PI()/4*Val!$D$3^2*(SIN(E10)+Val!$D$19/2*SIN(2*E10)/(1-Val!$D$19^2*SIN(E10)^2)^0.5)*Val!$D$5*(E10-E9)</f>
        <v>-0.016522433599619524</v>
      </c>
    </row>
    <row r="11" spans="2:23" ht="13.5">
      <c r="B11" s="32">
        <v>6</v>
      </c>
      <c r="C11" s="32">
        <f>B11-Data!$D$10</f>
        <v>-84</v>
      </c>
      <c r="D11" s="30">
        <f t="shared" si="4"/>
        <v>0.10471975511965978</v>
      </c>
      <c r="E11" s="30">
        <f t="shared" si="5"/>
        <v>-1.4660765716752369</v>
      </c>
      <c r="F11" s="26">
        <f>Val!$D$11*(1-COS(D11))+Val!$D$12*(1-COS(E11))</f>
        <v>0.00045047476214734396</v>
      </c>
      <c r="G11" s="26">
        <f>Val!$D$11*((1-COS(Calc!D11))+1/Val!$D$18*(1-(1-(Val!$D$18*SIN(Calc!D11))^2)^0.5))+Val!$D$12*((1-COS(Calc!E11))+1/Val!$D$19*(1-(1-(Val!$D$19*SIN(Calc!E11))^2)^0.5))</f>
        <v>0.0005053051217071917</v>
      </c>
      <c r="H11" s="26">
        <f t="shared" si="6"/>
        <v>-5.483035955984773E-05</v>
      </c>
      <c r="I11" s="22">
        <f>Val!$D$11*(1-COS(D11))+Val!$D$14+Val!$D$13+Val!$D$12*((1-COS(Calc!E11)))+Val!$D$15</f>
        <v>0.001150474762147344</v>
      </c>
      <c r="J11" s="22">
        <f>Val!$D$11*((1-COS(Calc!$D11))+1/Val!$D$18*(1-(1-(Val!$D$18*SIN(Calc!$D11))^2)^0.5))+Val!$D$14+Val!$D$13+Val!$D$12*((1-COS(Calc!$E11))+1/Val!$D$19*(1-(1-(Val!$D$19*SIN(Calc!$E11))^2)^0.5))+Val!$D$15</f>
        <v>0.0012053051217071917</v>
      </c>
      <c r="K11" s="44">
        <f t="shared" si="7"/>
        <v>-5.483035955984768E-05</v>
      </c>
      <c r="L11" s="50">
        <f>Val!$D$42*Val!$D$22/Val!$D$37/(1-Val!$D$39*COS(D11-Val!$D$40))</f>
        <v>111304.5684863992</v>
      </c>
      <c r="M11" s="50">
        <f>Val!$D$42*Val!$D$22/(Val!$D$11*((1-COS(Calc!D11))+1/Val!$D$18*(1-(1-(Val!$D$18*SIN(Calc!D11))^2)^0.5))/Val!$D$25+Val!$D$14/Val!$D$25+Val!$D$13/Val!$D$27+Val!$D$12*((1-COS(Calc!E11))+1/Val!$D$19*(1-(1-(Val!$D$19*SIN(Calc!E11))^2)^0.5))/Val!$D$26+Val!$D$15/Val!$D$26)</f>
        <v>104387.02436833656</v>
      </c>
      <c r="N11" s="16">
        <f t="shared" si="8"/>
        <v>-0.8594829709432973</v>
      </c>
      <c r="O11" s="16">
        <f t="shared" si="9"/>
        <v>-0.8064054865321182</v>
      </c>
      <c r="P11" s="16">
        <f t="shared" si="10"/>
        <v>7.682567206998558E-06</v>
      </c>
      <c r="Q11" s="16">
        <f t="shared" si="11"/>
        <v>7.687615543504876E-06</v>
      </c>
      <c r="R11" s="13">
        <f t="shared" si="0"/>
        <v>0.46736465197357896</v>
      </c>
      <c r="S11" s="13">
        <f t="shared" si="1"/>
        <v>0.4896387363397969</v>
      </c>
      <c r="T11" s="13">
        <f t="shared" si="2"/>
        <v>0.6567406992746253</v>
      </c>
      <c r="U11" s="13">
        <f t="shared" si="3"/>
        <v>0.6159244702272554</v>
      </c>
      <c r="W11" s="387">
        <f>1*(M11-Val!$D$28)*PI()/4*Val!$D$2^2*(SIN(D11)+Val!$D$18/2*SIN(2*D11)/(1-Val!$D$18^2*SIN(D11)^2)^0.5)*Val!$D$4*(D11-D10)+1*(M11-Val!$D$28)*PI()/4*Val!$D$3^2*(SIN(E11)+Val!$D$19/2*SIN(2*E11)/(1-Val!$D$19^2*SIN(E11)^2)^0.5)*Val!$D$5*(E11-E10)</f>
        <v>-0.02399032163602155</v>
      </c>
    </row>
    <row r="12" spans="2:23" ht="13.5">
      <c r="B12" s="32">
        <v>7</v>
      </c>
      <c r="C12" s="32">
        <f>B12-Data!$D$10</f>
        <v>-83</v>
      </c>
      <c r="D12" s="30">
        <f t="shared" si="4"/>
        <v>0.12217304763960307</v>
      </c>
      <c r="E12" s="30">
        <f t="shared" si="5"/>
        <v>-1.4486232791552935</v>
      </c>
      <c r="F12" s="26">
        <f>Val!$D$11*(1-COS(D12))+Val!$D$12*(1-COS(E12))</f>
        <v>0.0004427921949403454</v>
      </c>
      <c r="G12" s="26">
        <f>Val!$D$11*((1-COS(Calc!D12))+1/Val!$D$18*(1-(1-(Val!$D$18*SIN(Calc!D12))^2)^0.5))+Val!$D$12*((1-COS(Calc!E12))+1/Val!$D$19*(1-(1-(Val!$D$19*SIN(Calc!E12))^2)^0.5))</f>
        <v>0.0004976175061636868</v>
      </c>
      <c r="H12" s="26">
        <f t="shared" si="6"/>
        <v>-5.4825311223341414E-05</v>
      </c>
      <c r="I12" s="22">
        <f>Val!$D$11*(1-COS(D12))+Val!$D$14+Val!$D$13+Val!$D$12*((1-COS(Calc!E12)))+Val!$D$15</f>
        <v>0.0011427921949403454</v>
      </c>
      <c r="J12" s="22">
        <f>Val!$D$11*((1-COS(Calc!$D12))+1/Val!$D$18*(1-(1-(Val!$D$18*SIN(Calc!$D12))^2)^0.5))+Val!$D$14+Val!$D$13+Val!$D$12*((1-COS(Calc!$E12))+1/Val!$D$19*(1-(1-(Val!$D$19*SIN(Calc!$E12))^2)^0.5))+Val!$D$15</f>
        <v>0.001197617506163687</v>
      </c>
      <c r="K12" s="44">
        <f t="shared" si="7"/>
        <v>-5.482531122334147E-05</v>
      </c>
      <c r="L12" s="50">
        <f>Val!$D$42*Val!$D$22/Val!$D$37/(1-Val!$D$39*COS(D12-Val!$D$40))</f>
        <v>112444.32892912548</v>
      </c>
      <c r="M12" s="50">
        <f>Val!$D$42*Val!$D$22/(Val!$D$11*((1-COS(Calc!D12))+1/Val!$D$18*(1-(1-(Val!$D$18*SIN(Calc!D12))^2)^0.5))/Val!$D$25+Val!$D$14/Val!$D$25+Val!$D$13/Val!$D$27+Val!$D$12*((1-COS(Calc!E12))+1/Val!$D$19*(1-(1-(Val!$D$19*SIN(Calc!E12))^2)^0.5))/Val!$D$26+Val!$D$15/Val!$D$26)</f>
        <v>105406.37176824486</v>
      </c>
      <c r="N12" s="16">
        <f t="shared" si="8"/>
        <v>-0.8491081936411474</v>
      </c>
      <c r="O12" s="16">
        <f t="shared" si="9"/>
        <v>-0.7963923606281332</v>
      </c>
      <c r="P12" s="16">
        <f t="shared" si="10"/>
        <v>7.512836351365162E-06</v>
      </c>
      <c r="Q12" s="16">
        <f t="shared" si="11"/>
        <v>7.518594379259981E-06</v>
      </c>
      <c r="R12" s="13">
        <f t="shared" si="0"/>
        <v>0.46424371402074566</v>
      </c>
      <c r="S12" s="13">
        <f t="shared" si="1"/>
        <v>0.48651574756923865</v>
      </c>
      <c r="T12" s="13">
        <f t="shared" si="2"/>
        <v>0.6634657338382611</v>
      </c>
      <c r="U12" s="13">
        <f t="shared" si="3"/>
        <v>0.6219390205132246</v>
      </c>
      <c r="W12" s="387">
        <f>1*(M12-Val!$D$28)*PI()/4*Val!$D$2^2*(SIN(D12)+Val!$D$18/2*SIN(2*D12)/(1-Val!$D$18^2*SIN(D12)^2)^0.5)*Val!$D$4*(D12-D11)+1*(M12-Val!$D$28)*PI()/4*Val!$D$3^2*(SIN(E12)+Val!$D$19/2*SIN(2*E12)/(1-Val!$D$19^2*SIN(E12)^2)^0.5)*Val!$D$5*(E12-E11)</f>
        <v>-0.03122277762199991</v>
      </c>
    </row>
    <row r="13" spans="2:23" ht="13.5">
      <c r="B13" s="32">
        <v>8</v>
      </c>
      <c r="C13" s="32">
        <f>B13-Data!$D$10</f>
        <v>-82</v>
      </c>
      <c r="D13" s="30">
        <f t="shared" si="4"/>
        <v>0.13962634015954636</v>
      </c>
      <c r="E13" s="30">
        <f t="shared" si="5"/>
        <v>-1.4311699866353502</v>
      </c>
      <c r="F13" s="26">
        <f>Val!$D$11*(1-COS(D13))+Val!$D$12*(1-COS(E13))</f>
        <v>0.00043527935858898024</v>
      </c>
      <c r="G13" s="26">
        <f>Val!$D$11*((1-COS(Calc!D13))+1/Val!$D$18*(1-(1-(Val!$D$18*SIN(Calc!D13))^2)^0.5))+Val!$D$12*((1-COS(Calc!E13))+1/Val!$D$19*(1-(1-(Val!$D$19*SIN(Calc!E13))^2)^0.5))</f>
        <v>0.0004900989117844268</v>
      </c>
      <c r="H13" s="26">
        <f t="shared" si="6"/>
        <v>-5.4819553195446596E-05</v>
      </c>
      <c r="I13" s="22">
        <f>Val!$D$11*(1-COS(D13))+Val!$D$14+Val!$D$13+Val!$D$12*((1-COS(Calc!E13)))+Val!$D$15</f>
        <v>0.0011352793585889802</v>
      </c>
      <c r="J13" s="22">
        <f>Val!$D$11*((1-COS(Calc!$D13))+1/Val!$D$18*(1-(1-(Val!$D$18*SIN(Calc!$D13))^2)^0.5))+Val!$D$14+Val!$D$13+Val!$D$12*((1-COS(Calc!$E13))+1/Val!$D$19*(1-(1-(Val!$D$19*SIN(Calc!$E13))^2)^0.5))+Val!$D$15</f>
        <v>0.001190098911784427</v>
      </c>
      <c r="K13" s="44">
        <f t="shared" si="7"/>
        <v>-5.4819553195446704E-05</v>
      </c>
      <c r="L13" s="50">
        <f>Val!$D$42*Val!$D$22/Val!$D$37/(1-Val!$D$39*COS(D13-Val!$D$40))</f>
        <v>113597.64880857656</v>
      </c>
      <c r="M13" s="50">
        <f>Val!$D$42*Val!$D$22/(Val!$D$11*((1-COS(Calc!D13))+1/Val!$D$18*(1-(1-(Val!$D$18*SIN(Calc!D13))^2)^0.5))/Val!$D$25+Val!$D$14/Val!$D$25+Val!$D$13/Val!$D$27+Val!$D$12*((1-COS(Calc!E13))+1/Val!$D$19*(1-(1-(Val!$D$19*SIN(Calc!E13))^2)^0.5))/Val!$D$26+Val!$D$15/Val!$D$26)</f>
        <v>106439.70489336598</v>
      </c>
      <c r="N13" s="16">
        <f t="shared" si="8"/>
        <v>-0.8381815622570251</v>
      </c>
      <c r="O13" s="16">
        <f t="shared" si="9"/>
        <v>-0.785886888733951</v>
      </c>
      <c r="P13" s="16">
        <f t="shared" si="10"/>
        <v>7.340817013000705E-06</v>
      </c>
      <c r="Q13" s="16">
        <f t="shared" si="11"/>
        <v>7.34725666659005E-06</v>
      </c>
      <c r="R13" s="13">
        <f t="shared" si="0"/>
        <v>0.46119172690880195</v>
      </c>
      <c r="S13" s="13">
        <f t="shared" si="1"/>
        <v>0.48346142133714065</v>
      </c>
      <c r="T13" s="13">
        <f t="shared" si="2"/>
        <v>0.6702707744077376</v>
      </c>
      <c r="U13" s="13">
        <f t="shared" si="3"/>
        <v>0.6280360920746547</v>
      </c>
      <c r="W13" s="387">
        <f>1*(M13-Val!$D$28)*PI()/4*Val!$D$2^2*(SIN(D13)+Val!$D$18/2*SIN(2*D13)/(1-Val!$D$18^2*SIN(D13)^2)^0.5)*Val!$D$4*(D13-D12)+1*(M13-Val!$D$28)*PI()/4*Val!$D$3^2*(SIN(E13)+Val!$D$19/2*SIN(2*E13)/(1-Val!$D$19^2*SIN(E13)^2)^0.5)*Val!$D$5*(E13-E12)</f>
        <v>-0.03820500720091997</v>
      </c>
    </row>
    <row r="14" spans="2:23" ht="13.5">
      <c r="B14" s="32">
        <v>9</v>
      </c>
      <c r="C14" s="32">
        <f>B14-Data!$D$10</f>
        <v>-81</v>
      </c>
      <c r="D14" s="30">
        <f t="shared" si="4"/>
        <v>0.15707963267948966</v>
      </c>
      <c r="E14" s="30">
        <f t="shared" si="5"/>
        <v>-1.413716694115407</v>
      </c>
      <c r="F14" s="26">
        <f>Val!$D$11*(1-COS(D14))+Val!$D$12*(1-COS(E14))</f>
        <v>0.00042793854157597953</v>
      </c>
      <c r="G14" s="26">
        <f>Val!$D$11*((1-COS(Calc!D14))+1/Val!$D$18*(1-(1-(Val!$D$18*SIN(Calc!D14))^2)^0.5))+Val!$D$12*((1-COS(Calc!E14))+1/Val!$D$19*(1-(1-(Val!$D$19*SIN(Calc!E14))^2)^0.5))</f>
        <v>0.0004827516551178368</v>
      </c>
      <c r="H14" s="26">
        <f t="shared" si="6"/>
        <v>-5.481311354185725E-05</v>
      </c>
      <c r="I14" s="22">
        <f>Val!$D$11*(1-COS(D14))+Val!$D$14+Val!$D$13+Val!$D$12*((1-COS(Calc!E14)))+Val!$D$15</f>
        <v>0.0011279385415759796</v>
      </c>
      <c r="J14" s="22">
        <f>Val!$D$11*((1-COS(Calc!$D14))+1/Val!$D$18*(1-(1-(Val!$D$18*SIN(Calc!$D14))^2)^0.5))+Val!$D$14+Val!$D$13+Val!$D$12*((1-COS(Calc!$E14))+1/Val!$D$19*(1-(1-(Val!$D$19*SIN(Calc!$E14))^2)^0.5))+Val!$D$15</f>
        <v>0.0011827516551178368</v>
      </c>
      <c r="K14" s="44">
        <f t="shared" si="7"/>
        <v>-5.481311354185725E-05</v>
      </c>
      <c r="L14" s="50">
        <f>Val!$D$42*Val!$D$22/Val!$D$37/(1-Val!$D$39*COS(D14-Val!$D$40))</f>
        <v>114764.27896393117</v>
      </c>
      <c r="M14" s="50">
        <f>Val!$D$42*Val!$D$22/(Val!$D$11*((1-COS(Calc!D14))+1/Val!$D$18*(1-(1-(Val!$D$18*SIN(Calc!D14))^2)^0.5))/Val!$D$25+Val!$D$14/Val!$D$25+Val!$D$13/Val!$D$27+Val!$D$12*((1-COS(Calc!E14))+1/Val!$D$19*(1-(1-(Val!$D$19*SIN(Calc!E14))^2)^0.5))/Val!$D$26+Val!$D$15/Val!$D$26)</f>
        <v>107486.9140874528</v>
      </c>
      <c r="N14" s="16">
        <f t="shared" si="8"/>
        <v>-0.8266923335608822</v>
      </c>
      <c r="O14" s="16">
        <f t="shared" si="9"/>
        <v>-0.7748791101719812</v>
      </c>
      <c r="P14" s="16">
        <f t="shared" si="10"/>
        <v>7.166561590661797E-06</v>
      </c>
      <c r="Q14" s="16">
        <f t="shared" si="11"/>
        <v>7.173651482510321E-06</v>
      </c>
      <c r="R14" s="13">
        <f t="shared" si="0"/>
        <v>0.45820962030258733</v>
      </c>
      <c r="S14" s="13">
        <f t="shared" si="1"/>
        <v>0.4804766987096471</v>
      </c>
      <c r="T14" s="13">
        <f t="shared" si="2"/>
        <v>0.6771543508362836</v>
      </c>
      <c r="U14" s="13">
        <f t="shared" si="3"/>
        <v>0.6342150378965904</v>
      </c>
      <c r="W14" s="387">
        <f>1*(M14-Val!$D$28)*PI()/4*Val!$D$2^2*(SIN(D14)+Val!$D$18/2*SIN(2*D14)/(1-Val!$D$18^2*SIN(D14)^2)^0.5)*Val!$D$4*(D14-D13)+1*(M14-Val!$D$28)*PI()/4*Val!$D$3^2*(SIN(E14)+Val!$D$19/2*SIN(2*E14)/(1-Val!$D$19^2*SIN(E14)^2)^0.5)*Val!$D$5*(E14-E13)</f>
        <v>-0.0449221181425414</v>
      </c>
    </row>
    <row r="15" spans="2:23" ht="13.5">
      <c r="B15" s="32">
        <v>10</v>
      </c>
      <c r="C15" s="32">
        <f>B15-Data!$D$10</f>
        <v>-80</v>
      </c>
      <c r="D15" s="30">
        <f t="shared" si="4"/>
        <v>0.17453292519943295</v>
      </c>
      <c r="E15" s="30">
        <f t="shared" si="5"/>
        <v>-1.3962634015954636</v>
      </c>
      <c r="F15" s="26">
        <f>Val!$D$11*(1-COS(D15))+Val!$D$12*(1-COS(E15))</f>
        <v>0.00042077197998531774</v>
      </c>
      <c r="G15" s="26">
        <f>Val!$D$11*((1-COS(Calc!D15))+1/Val!$D$18*(1-(1-(Val!$D$18*SIN(Calc!D15))^2)^0.5))+Val!$D$12*((1-COS(Calc!E15))+1/Val!$D$19*(1-(1-(Val!$D$19*SIN(Calc!E15))^2)^0.5))</f>
        <v>0.00047557800363532646</v>
      </c>
      <c r="H15" s="26">
        <f t="shared" si="6"/>
        <v>-5.4806023650008726E-05</v>
      </c>
      <c r="I15" s="22">
        <f>Val!$D$11*(1-COS(D15))+Val!$D$14+Val!$D$13+Val!$D$12*((1-COS(Calc!E15)))+Val!$D$15</f>
        <v>0.0011207719799853177</v>
      </c>
      <c r="J15" s="22">
        <f>Val!$D$11*((1-COS(Calc!$D15))+1/Val!$D$18*(1-(1-(Val!$D$18*SIN(Calc!$D15))^2)^0.5))+Val!$D$14+Val!$D$13+Val!$D$12*((1-COS(Calc!$E15))+1/Val!$D$19*(1-(1-(Val!$D$19*SIN(Calc!$E15))^2)^0.5))+Val!$D$15</f>
        <v>0.0011755780036353265</v>
      </c>
      <c r="K15" s="44">
        <f t="shared" si="7"/>
        <v>-5.4806023650008726E-05</v>
      </c>
      <c r="L15" s="50">
        <f>Val!$D$42*Val!$D$22/Val!$D$37/(1-Val!$D$39*COS(D15-Val!$D$40))</f>
        <v>115943.94089929477</v>
      </c>
      <c r="M15" s="50">
        <f>Val!$D$42*Val!$D$22/(Val!$D$11*((1-COS(Calc!D15))+1/Val!$D$18*(1-(1-(Val!$D$18*SIN(Calc!D15))^2)^0.5))/Val!$D$25+Val!$D$14/Val!$D$25+Val!$D$13/Val!$D$27+Val!$D$12*((1-COS(Calc!E15))+1/Val!$D$19*(1-(1-(Val!$D$19*SIN(Calc!E15))^2)^0.5))/Val!$D$26+Val!$D$15/Val!$D$26)</f>
        <v>108547.86598547513</v>
      </c>
      <c r="N15" s="16">
        <f t="shared" si="8"/>
        <v>-0.8146298842027913</v>
      </c>
      <c r="O15" s="16">
        <f t="shared" si="9"/>
        <v>-0.7633590858358252</v>
      </c>
      <c r="P15" s="16">
        <f t="shared" si="10"/>
        <v>6.9901231642386405E-06</v>
      </c>
      <c r="Q15" s="16">
        <f t="shared" si="11"/>
        <v>6.997828738360666E-06</v>
      </c>
      <c r="R15" s="13">
        <f t="shared" si="0"/>
        <v>0.4552983025806624</v>
      </c>
      <c r="S15" s="13">
        <f t="shared" si="1"/>
        <v>0.4775625008160354</v>
      </c>
      <c r="T15" s="13">
        <f t="shared" si="2"/>
        <v>0.684114819888666</v>
      </c>
      <c r="U15" s="13">
        <f t="shared" si="3"/>
        <v>0.6404750710729382</v>
      </c>
      <c r="W15" s="387">
        <f>1*(M15-Val!$D$28)*PI()/4*Val!$D$2^2*(SIN(D15)+Val!$D$18/2*SIN(2*D15)/(1-Val!$D$18^2*SIN(D15)^2)^0.5)*Val!$D$4*(D15-D14)+1*(M15-Val!$D$28)*PI()/4*Val!$D$3^2*(SIN(E15)+Val!$D$19/2*SIN(2*E15)/(1-Val!$D$19^2*SIN(E15)^2)^0.5)*Val!$D$5*(E15-E14)</f>
        <v>-0.05135914304323572</v>
      </c>
    </row>
    <row r="16" spans="2:23" ht="13.5">
      <c r="B16" s="32">
        <v>11</v>
      </c>
      <c r="C16" s="32">
        <f>B16-Data!$D$10</f>
        <v>-79</v>
      </c>
      <c r="D16" s="30">
        <f t="shared" si="4"/>
        <v>0.19198621771937624</v>
      </c>
      <c r="E16" s="30">
        <f t="shared" si="5"/>
        <v>-1.3788101090755203</v>
      </c>
      <c r="F16" s="26">
        <f>Val!$D$11*(1-COS(D16))+Val!$D$12*(1-COS(E16))</f>
        <v>0.0004137818568210791</v>
      </c>
      <c r="G16" s="26">
        <f>Val!$D$11*((1-COS(Calc!D16))+1/Val!$D$18*(1-(1-(Val!$D$18*SIN(Calc!D16))^2)^0.5))+Val!$D$12*((1-COS(Calc!E16))+1/Val!$D$19*(1-(1-(Val!$D$19*SIN(Calc!E16))^2)^0.5))</f>
        <v>0.0004685801748969658</v>
      </c>
      <c r="H16" s="26">
        <f t="shared" si="6"/>
        <v>-5.47983180758867E-05</v>
      </c>
      <c r="I16" s="22">
        <f>Val!$D$11*(1-COS(D16))+Val!$D$14+Val!$D$13+Val!$D$12*((1-COS(Calc!E16)))+Val!$D$15</f>
        <v>0.001113781856821079</v>
      </c>
      <c r="J16" s="22">
        <f>Val!$D$11*((1-COS(Calc!$D16))+1/Val!$D$18*(1-(1-(Val!$D$18*SIN(Calc!$D16))^2)^0.5))+Val!$D$14+Val!$D$13+Val!$D$12*((1-COS(Calc!$E16))+1/Val!$D$19*(1-(1-(Val!$D$19*SIN(Calc!$E16))^2)^0.5))+Val!$D$15</f>
        <v>0.0011685801748969658</v>
      </c>
      <c r="K16" s="44">
        <f t="shared" si="7"/>
        <v>-5.479831807588681E-05</v>
      </c>
      <c r="L16" s="50">
        <f>Val!$D$42*Val!$D$22/Val!$D$37/(1-Val!$D$39*COS(D16-Val!$D$40))</f>
        <v>117136.32537424345</v>
      </c>
      <c r="M16" s="50">
        <f>Val!$D$42*Val!$D$22/(Val!$D$11*((1-COS(Calc!D16))+1/Val!$D$18*(1-(1-(Val!$D$18*SIN(Calc!D16))^2)^0.5))/Val!$D$25+Val!$D$14/Val!$D$25+Val!$D$13/Val!$D$27+Val!$D$12*((1-COS(Calc!E16))+1/Val!$D$19*(1-(1-(Val!$D$19*SIN(Calc!E16))^2)^0.5))/Val!$D$26+Val!$D$15/Val!$D$26)</f>
        <v>109622.40207245911</v>
      </c>
      <c r="N16" s="16">
        <f t="shared" si="8"/>
        <v>-0.8019837427293843</v>
      </c>
      <c r="O16" s="16">
        <f t="shared" si="9"/>
        <v>-0.7513169238696434</v>
      </c>
      <c r="P16" s="16">
        <f t="shared" si="10"/>
        <v>6.811555478584475E-06</v>
      </c>
      <c r="Q16" s="16">
        <f t="shared" si="11"/>
        <v>6.819839179085627E-06</v>
      </c>
      <c r="R16" s="13">
        <f t="shared" si="0"/>
        <v>0.45245866055860784</v>
      </c>
      <c r="S16" s="13">
        <f t="shared" si="1"/>
        <v>0.47471972850978317</v>
      </c>
      <c r="T16" s="13">
        <f t="shared" si="2"/>
        <v>0.691150356924845</v>
      </c>
      <c r="U16" s="13">
        <f t="shared" si="3"/>
        <v>0.6468152563030521</v>
      </c>
      <c r="W16" s="387">
        <f>1*(M16-Val!$D$28)*PI()/4*Val!$D$2^2*(SIN(D16)+Val!$D$18/2*SIN(2*D16)/(1-Val!$D$18^2*SIN(D16)^2)^0.5)*Val!$D$4*(D16-D15)+1*(M16-Val!$D$28)*PI()/4*Val!$D$3^2*(SIN(E16)+Val!$D$19/2*SIN(2*E16)/(1-Val!$D$19^2*SIN(E16)^2)^0.5)*Val!$D$5*(E16-E15)</f>
        <v>-0.057501064034337156</v>
      </c>
    </row>
    <row r="17" spans="2:23" ht="13.5">
      <c r="B17" s="32">
        <v>12</v>
      </c>
      <c r="C17" s="32">
        <f>B17-Data!$D$10</f>
        <v>-78</v>
      </c>
      <c r="D17" s="30">
        <f t="shared" si="4"/>
        <v>0.20943951023931956</v>
      </c>
      <c r="E17" s="30">
        <f t="shared" si="5"/>
        <v>-1.361356816555577</v>
      </c>
      <c r="F17" s="26">
        <f>Val!$D$11*(1-COS(D17))+Val!$D$12*(1-COS(E17))</f>
        <v>0.0004069703013424946</v>
      </c>
      <c r="G17" s="26">
        <f>Val!$D$11*((1-COS(Calc!D17))+1/Val!$D$18*(1-(1-(Val!$D$18*SIN(Calc!D17))^2)^0.5))+Val!$D$12*((1-COS(Calc!E17))+1/Val!$D$19*(1-(1-(Val!$D$19*SIN(Calc!E17))^2)^0.5))</f>
        <v>0.00046176033571788017</v>
      </c>
      <c r="H17" s="26">
        <f t="shared" si="6"/>
        <v>-5.479003437538555E-05</v>
      </c>
      <c r="I17" s="22">
        <f>Val!$D$11*(1-COS(D17))+Val!$D$14+Val!$D$13+Val!$D$12*((1-COS(Calc!E17)))+Val!$D$15</f>
        <v>0.0011069703013424947</v>
      </c>
      <c r="J17" s="22">
        <f>Val!$D$11*((1-COS(Calc!$D17))+1/Val!$D$18*(1-(1-(Val!$D$18*SIN(Calc!$D17))^2)^0.5))+Val!$D$14+Val!$D$13+Val!$D$12*((1-COS(Calc!$E17))+1/Val!$D$19*(1-(1-(Val!$D$19*SIN(Calc!$E17))^2)^0.5))+Val!$D$15</f>
        <v>0.00116176033571788</v>
      </c>
      <c r="K17" s="44">
        <f t="shared" si="7"/>
        <v>-5.479003437538544E-05</v>
      </c>
      <c r="L17" s="50">
        <f>Val!$D$42*Val!$D$22/Val!$D$37/(1-Val!$D$39*COS(D17-Val!$D$40))</f>
        <v>118341.09098119353</v>
      </c>
      <c r="M17" s="50">
        <f>Val!$D$42*Val!$D$22/(Val!$D$11*((1-COS(Calc!D17))+1/Val!$D$18*(1-(1-(Val!$D$18*SIN(Calc!D17))^2)^0.5))/Val!$D$25+Val!$D$14/Val!$D$25+Val!$D$13/Val!$D$27+Val!$D$12*((1-COS(Calc!E17))+1/Val!$D$19*(1-(1-(Val!$D$19*SIN(Calc!E17))^2)^0.5))/Val!$D$26+Val!$D$15/Val!$D$26)</f>
        <v>110710.3372020071</v>
      </c>
      <c r="N17" s="16">
        <f t="shared" si="8"/>
        <v>-0.7887436237094259</v>
      </c>
      <c r="O17" s="16">
        <f t="shared" si="9"/>
        <v>-0.7387428073730941</v>
      </c>
      <c r="P17" s="16">
        <f t="shared" si="10"/>
        <v>6.630912927146676E-06</v>
      </c>
      <c r="Q17" s="16">
        <f t="shared" si="11"/>
        <v>6.639734381484242E-06</v>
      </c>
      <c r="R17" s="13">
        <f t="shared" si="0"/>
        <v>0.44969155921889187</v>
      </c>
      <c r="S17" s="13">
        <f t="shared" si="1"/>
        <v>0.47194926202992743</v>
      </c>
      <c r="T17" s="13">
        <f t="shared" si="2"/>
        <v>0.6982589475058966</v>
      </c>
      <c r="U17" s="13">
        <f t="shared" si="3"/>
        <v>0.6532345011504196</v>
      </c>
      <c r="W17" s="387">
        <f>1*(M17-Val!$D$28)*PI()/4*Val!$D$2^2*(SIN(D17)+Val!$D$18/2*SIN(2*D17)/(1-Val!$D$18^2*SIN(D17)^2)^0.5)*Val!$D$4*(D17-D16)+1*(M17-Val!$D$28)*PI()/4*Val!$D$3^2*(SIN(E17)+Val!$D$19/2*SIN(2*E17)/(1-Val!$D$19^2*SIN(E17)^2)^0.5)*Val!$D$5*(E17-E16)</f>
        <v>-0.06333283958087454</v>
      </c>
    </row>
    <row r="18" spans="2:23" ht="13.5">
      <c r="B18" s="32">
        <v>13</v>
      </c>
      <c r="C18" s="32">
        <f>B18-Data!$D$10</f>
        <v>-77</v>
      </c>
      <c r="D18" s="30">
        <f t="shared" si="4"/>
        <v>0.22689280275926285</v>
      </c>
      <c r="E18" s="30">
        <f t="shared" si="5"/>
        <v>-1.3439035240356338</v>
      </c>
      <c r="F18" s="26">
        <f>Val!$D$11*(1-COS(D18))+Val!$D$12*(1-COS(E18))</f>
        <v>0.00040033938841534794</v>
      </c>
      <c r="G18" s="26">
        <f>Val!$D$11*((1-COS(Calc!D18))+1/Val!$D$18*(1-(1-(Val!$D$18*SIN(Calc!D18))^2)^0.5))+Val!$D$12*((1-COS(Calc!E18))+1/Val!$D$19*(1-(1-(Val!$D$19*SIN(Calc!E18))^2)^0.5))</f>
        <v>0.0004551206013363959</v>
      </c>
      <c r="H18" s="26">
        <f t="shared" si="6"/>
        <v>-5.478121292104798E-05</v>
      </c>
      <c r="I18" s="22">
        <f>Val!$D$11*(1-COS(D18))+Val!$D$14+Val!$D$13+Val!$D$12*((1-COS(Calc!E18)))+Val!$D$15</f>
        <v>0.001100339388415348</v>
      </c>
      <c r="J18" s="22">
        <f>Val!$D$11*((1-COS(Calc!$D18))+1/Val!$D$18*(1-(1-(Val!$D$18*SIN(Calc!$D18))^2)^0.5))+Val!$D$14+Val!$D$13+Val!$D$12*((1-COS(Calc!$E18))+1/Val!$D$19*(1-(1-(Val!$D$19*SIN(Calc!$E18))^2)^0.5))+Val!$D$15</f>
        <v>0.001155120601336396</v>
      </c>
      <c r="K18" s="44">
        <f t="shared" si="7"/>
        <v>-5.478121292104804E-05</v>
      </c>
      <c r="L18" s="50">
        <f>Val!$D$42*Val!$D$22/Val!$D$37/(1-Val!$D$39*COS(D18-Val!$D$40))</f>
        <v>119557.86271501215</v>
      </c>
      <c r="M18" s="50">
        <f>Val!$D$42*Val!$D$22/(Val!$D$11*((1-COS(Calc!D18))+1/Val!$D$18*(1-(1-(Val!$D$18*SIN(Calc!D18))^2)^0.5))/Val!$D$25+Val!$D$14/Val!$D$25+Val!$D$13/Val!$D$27+Val!$D$12*((1-COS(Calc!E18))+1/Val!$D$19*(1-(1-(Val!$D$19*SIN(Calc!E18))^2)^0.5))/Val!$D$26+Val!$D$15/Val!$D$26)</f>
        <v>111811.45807739021</v>
      </c>
      <c r="N18" s="16">
        <f t="shared" si="8"/>
        <v>-0.7748994640084881</v>
      </c>
      <c r="O18" s="16">
        <f t="shared" si="9"/>
        <v>-0.7256270242024895</v>
      </c>
      <c r="P18" s="16">
        <f t="shared" si="10"/>
        <v>6.448250535396347E-06</v>
      </c>
      <c r="Q18" s="16">
        <f t="shared" si="11"/>
        <v>6.457566751368515E-06</v>
      </c>
      <c r="R18" s="13">
        <f t="shared" si="0"/>
        <v>0.44699784144738797</v>
      </c>
      <c r="S18" s="13">
        <f t="shared" si="1"/>
        <v>0.4692519606631358</v>
      </c>
      <c r="T18" s="13">
        <f t="shared" si="2"/>
        <v>0.7054383789541508</v>
      </c>
      <c r="U18" s="13">
        <f t="shared" si="3"/>
        <v>0.6597315470805097</v>
      </c>
      <c r="W18" s="387">
        <f>1*(M18-Val!$D$28)*PI()/4*Val!$D$2^2*(SIN(D18)+Val!$D$18/2*SIN(2*D18)/(1-Val!$D$18^2*SIN(D18)^2)^0.5)*Val!$D$4*(D18-D17)+1*(M18-Val!$D$28)*PI()/4*Val!$D$3^2*(SIN(E18)+Val!$D$19/2*SIN(2*E18)/(1-Val!$D$19^2*SIN(E18)^2)^0.5)*Val!$D$5*(E18-E17)</f>
        <v>-0.06883943344917186</v>
      </c>
    </row>
    <row r="19" spans="2:23" ht="13.5">
      <c r="B19" s="32">
        <v>14</v>
      </c>
      <c r="C19" s="32">
        <f>B19-Data!$D$10</f>
        <v>-76</v>
      </c>
      <c r="D19" s="30">
        <f t="shared" si="4"/>
        <v>0.24434609527920614</v>
      </c>
      <c r="E19" s="30">
        <f t="shared" si="5"/>
        <v>-1.3264502315156905</v>
      </c>
      <c r="F19" s="26">
        <f>Val!$D$11*(1-COS(D19))+Val!$D$12*(1-COS(E19))</f>
        <v>0.0003938911378799516</v>
      </c>
      <c r="G19" s="26">
        <f>Val!$D$11*((1-COS(Calc!D19))+1/Val!$D$18*(1-(1-(Val!$D$18*SIN(Calc!D19))^2)^0.5))+Val!$D$12*((1-COS(Calc!E19))+1/Val!$D$19*(1-(1-(Val!$D$19*SIN(Calc!E19))^2)^0.5))</f>
        <v>0.0004486630345850274</v>
      </c>
      <c r="H19" s="26">
        <f t="shared" si="6"/>
        <v>-5.4771896705075815E-05</v>
      </c>
      <c r="I19" s="22">
        <f>Val!$D$11*(1-COS(D19))+Val!$D$14+Val!$D$13+Val!$D$12*((1-COS(Calc!E19)))+Val!$D$15</f>
        <v>0.0010938911378799516</v>
      </c>
      <c r="J19" s="22">
        <f>Val!$D$11*((1-COS(Calc!$D19))+1/Val!$D$18*(1-(1-(Val!$D$18*SIN(Calc!$D19))^2)^0.5))+Val!$D$14+Val!$D$13+Val!$D$12*((1-COS(Calc!$E19))+1/Val!$D$19*(1-(1-(Val!$D$19*SIN(Calc!$E19))^2)^0.5))+Val!$D$15</f>
        <v>0.0011486630345850274</v>
      </c>
      <c r="K19" s="44">
        <f t="shared" si="7"/>
        <v>-5.477189670507576E-05</v>
      </c>
      <c r="L19" s="50">
        <f>Val!$D$42*Val!$D$22/Val!$D$37/(1-Val!$D$39*COS(D19-Val!$D$40))</f>
        <v>120786.23054093168</v>
      </c>
      <c r="M19" s="50">
        <f>Val!$D$42*Val!$D$22/(Val!$D$11*((1-COS(Calc!D19))+1/Val!$D$18*(1-(1-(Val!$D$18*SIN(Calc!D19))^2)^0.5))/Val!$D$25+Val!$D$14/Val!$D$25+Val!$D$13/Val!$D$27+Val!$D$12*((1-COS(Calc!E19))+1/Val!$D$19*(1-(1-(Val!$D$19*SIN(Calc!E19))^2)^0.5))/Val!$D$26+Val!$D$15/Val!$D$26)</f>
        <v>112925.52169868578</v>
      </c>
      <c r="N19" s="16">
        <f t="shared" si="8"/>
        <v>-0.7604414612459078</v>
      </c>
      <c r="O19" s="16">
        <f t="shared" si="9"/>
        <v>-0.7119599989302399</v>
      </c>
      <c r="P19" s="16">
        <f t="shared" si="10"/>
        <v>6.263623944067099E-06</v>
      </c>
      <c r="Q19" s="16">
        <f t="shared" si="11"/>
        <v>6.273389519555986E-06</v>
      </c>
      <c r="R19" s="13">
        <f t="shared" si="0"/>
        <v>0.44437832777662395</v>
      </c>
      <c r="S19" s="13">
        <f t="shared" si="1"/>
        <v>0.46662866240693035</v>
      </c>
      <c r="T19" s="13">
        <f t="shared" si="2"/>
        <v>0.7126862319033263</v>
      </c>
      <c r="U19" s="13">
        <f t="shared" si="3"/>
        <v>0.6663049602982742</v>
      </c>
      <c r="W19" s="387">
        <f>1*(M19-Val!$D$28)*PI()/4*Val!$D$2^2*(SIN(D19)+Val!$D$18/2*SIN(2*D19)/(1-Val!$D$18^2*SIN(D19)^2)^0.5)*Val!$D$4*(D19-D18)+1*(M19-Val!$D$28)*PI()/4*Val!$D$3^2*(SIN(E19)+Val!$D$19/2*SIN(2*E19)/(1-Val!$D$19^2*SIN(E19)^2)^0.5)*Val!$D$5*(E19-E18)</f>
        <v>-0.07400584591700315</v>
      </c>
    </row>
    <row r="20" spans="2:23" ht="13.5">
      <c r="B20" s="32">
        <v>15</v>
      </c>
      <c r="C20" s="32">
        <f>B20-Data!$D$10</f>
        <v>-75</v>
      </c>
      <c r="D20" s="30">
        <f t="shared" si="4"/>
        <v>0.2617993877991494</v>
      </c>
      <c r="E20" s="30">
        <f t="shared" si="5"/>
        <v>-1.3089969389957472</v>
      </c>
      <c r="F20" s="26">
        <f>Val!$D$11*(1-COS(D20))+Val!$D$12*(1-COS(E20))</f>
        <v>0.0003876275139358845</v>
      </c>
      <c r="G20" s="26">
        <f>Val!$D$11*((1-COS(Calc!D20))+1/Val!$D$18*(1-(1-(Val!$D$18*SIN(Calc!D20))^2)^0.5))+Val!$D$12*((1-COS(Calc!E20))+1/Val!$D$19*(1-(1-(Val!$D$19*SIN(Calc!E20))^2)^0.5))</f>
        <v>0.0004423896450654714</v>
      </c>
      <c r="H20" s="26">
        <f t="shared" si="6"/>
        <v>-5.476213112958693E-05</v>
      </c>
      <c r="I20" s="22">
        <f>Val!$D$11*(1-COS(D20))+Val!$D$14+Val!$D$13+Val!$D$12*((1-COS(Calc!E20)))+Val!$D$15</f>
        <v>0.0010876275139358844</v>
      </c>
      <c r="J20" s="22">
        <f>Val!$D$11*((1-COS(Calc!$D20))+1/Val!$D$18*(1-(1-(Val!$D$18*SIN(Calc!$D20))^2)^0.5))+Val!$D$14+Val!$D$13+Val!$D$12*((1-COS(Calc!$E20))+1/Val!$D$19*(1-(1-(Val!$D$19*SIN(Calc!$E20))^2)^0.5))+Val!$D$15</f>
        <v>0.0011423896450654715</v>
      </c>
      <c r="K20" s="44">
        <f t="shared" si="7"/>
        <v>-5.476213112958709E-05</v>
      </c>
      <c r="L20" s="50">
        <f>Val!$D$42*Val!$D$22/Val!$D$37/(1-Val!$D$39*COS(D20-Val!$D$40))</f>
        <v>122025.74796750923</v>
      </c>
      <c r="M20" s="50">
        <f>Val!$D$42*Val!$D$22/(Val!$D$11*((1-COS(Calc!D20))+1/Val!$D$18*(1-(1-(Val!$D$18*SIN(Calc!D20))^2)^0.5))/Val!$D$25+Val!$D$14/Val!$D$25+Val!$D$13/Val!$D$27+Val!$D$12*((1-COS(Calc!E20))+1/Val!$D$19*(1-(1-(Val!$D$19*SIN(Calc!E20))^2)^0.5))/Val!$D$26+Val!$D$15/Val!$D$26)</f>
        <v>114052.25378005944</v>
      </c>
      <c r="N20" s="16">
        <f t="shared" si="8"/>
        <v>-0.7453601144541078</v>
      </c>
      <c r="O20" s="16">
        <f t="shared" si="9"/>
        <v>-0.6977323270239616</v>
      </c>
      <c r="P20" s="16">
        <f t="shared" si="10"/>
        <v>6.077089392207452E-06</v>
      </c>
      <c r="Q20" s="16">
        <f t="shared" si="11"/>
        <v>6.087256736655967E-06</v>
      </c>
      <c r="R20" s="13">
        <f t="shared" si="0"/>
        <v>0.4418338161358397</v>
      </c>
      <c r="S20" s="13">
        <f t="shared" si="1"/>
        <v>0.4640801836345412</v>
      </c>
      <c r="T20" s="13">
        <f t="shared" si="2"/>
        <v>0.7199998718784285</v>
      </c>
      <c r="U20" s="13">
        <f t="shared" si="3"/>
        <v>0.6729531224094899</v>
      </c>
      <c r="W20" s="387">
        <f>1*(M20-Val!$D$28)*PI()/4*Val!$D$2^2*(SIN(D20)+Val!$D$18/2*SIN(2*D20)/(1-Val!$D$18^2*SIN(D20)^2)^0.5)*Val!$D$4*(D20-D19)+1*(M20-Val!$D$28)*PI()/4*Val!$D$3^2*(SIN(E20)+Val!$D$19/2*SIN(2*E20)/(1-Val!$D$19^2*SIN(E20)^2)^0.5)*Val!$D$5*(E20-E19)</f>
        <v>-0.0788171472939705</v>
      </c>
    </row>
    <row r="21" spans="2:23" ht="13.5">
      <c r="B21" s="32">
        <v>16</v>
      </c>
      <c r="C21" s="32">
        <f>B21-Data!$D$10</f>
        <v>-74</v>
      </c>
      <c r="D21" s="30">
        <f t="shared" si="4"/>
        <v>0.2792526803190927</v>
      </c>
      <c r="E21" s="30">
        <f t="shared" si="5"/>
        <v>-1.2915436464758039</v>
      </c>
      <c r="F21" s="26">
        <f>Val!$D$11*(1-COS(D21))+Val!$D$12*(1-COS(E21))</f>
        <v>0.00038155042454367705</v>
      </c>
      <c r="G21" s="26">
        <f>Val!$D$11*((1-COS(Calc!D21))+1/Val!$D$18*(1-(1-(Val!$D$18*SIN(Calc!D21))^2)^0.5))+Val!$D$12*((1-COS(Calc!E21))+1/Val!$D$19*(1-(1-(Val!$D$19*SIN(Calc!E21))^2)^0.5))</f>
        <v>0.00043630238832881546</v>
      </c>
      <c r="H21" s="26">
        <f t="shared" si="6"/>
        <v>-5.475196378513841E-05</v>
      </c>
      <c r="I21" s="22">
        <f>Val!$D$11*(1-COS(D21))+Val!$D$14+Val!$D$13+Val!$D$12*((1-COS(Calc!E21)))+Val!$D$15</f>
        <v>0.001081550424543677</v>
      </c>
      <c r="J21" s="22">
        <f>Val!$D$11*((1-COS(Calc!$D21))+1/Val!$D$18*(1-(1-(Val!$D$18*SIN(Calc!$D21))^2)^0.5))+Val!$D$14+Val!$D$13+Val!$D$12*((1-COS(Calc!$E21))+1/Val!$D$19*(1-(1-(Val!$D$19*SIN(Calc!$E21))^2)^0.5))+Val!$D$15</f>
        <v>0.0011363023883288153</v>
      </c>
      <c r="K21" s="44">
        <f t="shared" si="7"/>
        <v>-5.4751963785138304E-05</v>
      </c>
      <c r="L21" s="50">
        <f>Val!$D$42*Val!$D$22/Val!$D$37/(1-Val!$D$39*COS(D21-Val!$D$40))</f>
        <v>123275.93063207944</v>
      </c>
      <c r="M21" s="50">
        <f>Val!$D$42*Val!$D$22/(Val!$D$11*((1-COS(Calc!D21))+1/Val!$D$18*(1-(1-(Val!$D$18*SIN(Calc!D21))^2)^0.5))/Val!$D$25+Val!$D$14/Val!$D$25+Val!$D$13/Val!$D$27+Val!$D$12*((1-COS(Calc!E21))+1/Val!$D$19*(1-(1-(Val!$D$19*SIN(Calc!E21))^2)^0.5))/Val!$D$26+Val!$D$15/Val!$D$26)</f>
        <v>115191.3471419684</v>
      </c>
      <c r="N21" s="16">
        <f t="shared" si="8"/>
        <v>-0.7296462669502324</v>
      </c>
      <c r="O21" s="16">
        <f t="shared" si="9"/>
        <v>-0.6829348112932789</v>
      </c>
      <c r="P21" s="16">
        <f t="shared" si="10"/>
        <v>5.888703700048924E-06</v>
      </c>
      <c r="Q21" s="16">
        <f t="shared" si="11"/>
        <v>5.8992232665825415E-06</v>
      </c>
      <c r="R21" s="13">
        <f t="shared" si="0"/>
        <v>0.4393650816079305</v>
      </c>
      <c r="S21" s="13">
        <f t="shared" si="1"/>
        <v>0.4616073187618768</v>
      </c>
      <c r="T21" s="13">
        <f t="shared" si="2"/>
        <v>0.7273764409493663</v>
      </c>
      <c r="U21" s="13">
        <f t="shared" si="3"/>
        <v>0.6796742209341259</v>
      </c>
      <c r="W21" s="387">
        <f>1*(M21-Val!$D$28)*PI()/4*Val!$D$2^2*(SIN(D21)+Val!$D$18/2*SIN(2*D21)/(1-Val!$D$18^2*SIN(D21)^2)^0.5)*Val!$D$4*(D21-D20)+1*(M21-Val!$D$28)*PI()/4*Val!$D$3^2*(SIN(E21)+Val!$D$19/2*SIN(2*E21)/(1-Val!$D$19^2*SIN(E21)^2)^0.5)*Val!$D$5*(E21-E20)</f>
        <v>-0.0832585138125797</v>
      </c>
    </row>
    <row r="22" spans="2:23" ht="13.5">
      <c r="B22" s="32">
        <v>17</v>
      </c>
      <c r="C22" s="32">
        <f>B22-Data!$D$10</f>
        <v>-73</v>
      </c>
      <c r="D22" s="30">
        <f t="shared" si="4"/>
        <v>0.29670597283903605</v>
      </c>
      <c r="E22" s="30">
        <f t="shared" si="5"/>
        <v>-1.2740903539558606</v>
      </c>
      <c r="F22" s="26">
        <f>Val!$D$11*(1-COS(D22))+Val!$D$12*(1-COS(E22))</f>
        <v>0.0003756617208436281</v>
      </c>
      <c r="G22" s="26">
        <f>Val!$D$11*((1-COS(Calc!D22))+1/Val!$D$18*(1-(1-(Val!$D$18*SIN(Calc!D22))^2)^0.5))+Val!$D$12*((1-COS(Calc!E22))+1/Val!$D$19*(1-(1-(Val!$D$19*SIN(Calc!E22))^2)^0.5))</f>
        <v>0.0004304031650622329</v>
      </c>
      <c r="H22" s="26">
        <f t="shared" si="6"/>
        <v>-5.4741444218604795E-05</v>
      </c>
      <c r="I22" s="22">
        <f>Val!$D$11*(1-COS(D22))+Val!$D$14+Val!$D$13+Val!$D$12*((1-COS(Calc!E22)))+Val!$D$15</f>
        <v>0.0010756617208436282</v>
      </c>
      <c r="J22" s="22">
        <f>Val!$D$11*((1-COS(Calc!$D22))+1/Val!$D$18*(1-(1-(Val!$D$18*SIN(Calc!$D22))^2)^0.5))+Val!$D$14+Val!$D$13+Val!$D$12*((1-COS(Calc!$E22))+1/Val!$D$19*(1-(1-(Val!$D$19*SIN(Calc!$E22))^2)^0.5))+Val!$D$15</f>
        <v>0.001130403165062233</v>
      </c>
      <c r="K22" s="44">
        <f t="shared" si="7"/>
        <v>-5.4741444218604903E-05</v>
      </c>
      <c r="L22" s="50">
        <f>Val!$D$42*Val!$D$22/Val!$D$37/(1-Val!$D$39*COS(D22-Val!$D$40))</f>
        <v>124536.25490687953</v>
      </c>
      <c r="M22" s="50">
        <f>Val!$D$42*Val!$D$22/(Val!$D$11*((1-COS(Calc!D22))+1/Val!$D$18*(1-(1-(Val!$D$18*SIN(Calc!D22))^2)^0.5))/Val!$D$25+Val!$D$14/Val!$D$25+Val!$D$13/Val!$D$27+Val!$D$12*((1-COS(Calc!E22))+1/Val!$D$19*(1-(1-(Val!$D$19*SIN(Calc!E22))^2)^0.5))/Val!$D$26+Val!$D$15/Val!$D$26)</f>
        <v>116342.46008378822</v>
      </c>
      <c r="N22" s="16">
        <f t="shared" si="8"/>
        <v>-0.7132911514144425</v>
      </c>
      <c r="O22" s="16">
        <f t="shared" si="9"/>
        <v>-0.6675585006489657</v>
      </c>
      <c r="P22" s="16">
        <f t="shared" si="10"/>
        <v>5.6985242516980955E-06</v>
      </c>
      <c r="Q22" s="16">
        <f t="shared" si="11"/>
        <v>5.709344778758341E-06</v>
      </c>
      <c r="R22" s="13">
        <f t="shared" si="0"/>
        <v>0.43697287619334846</v>
      </c>
      <c r="S22" s="13">
        <f t="shared" si="1"/>
        <v>0.45921083991713046</v>
      </c>
      <c r="T22" s="13">
        <f t="shared" si="2"/>
        <v>0.7348128495065419</v>
      </c>
      <c r="U22" s="13">
        <f t="shared" si="3"/>
        <v>0.6864662397042017</v>
      </c>
      <c r="W22" s="387">
        <f>1*(M22-Val!$D$28)*PI()/4*Val!$D$2^2*(SIN(D22)+Val!$D$18/2*SIN(2*D22)/(1-Val!$D$18^2*SIN(D22)^2)^0.5)*Val!$D$4*(D22-D21)+1*(M22-Val!$D$28)*PI()/4*Val!$D$3^2*(SIN(E22)+Val!$D$19/2*SIN(2*E22)/(1-Val!$D$19^2*SIN(E22)^2)^0.5)*Val!$D$5*(E22-E21)</f>
        <v>-0.0873152659417645</v>
      </c>
    </row>
    <row r="23" spans="2:23" ht="13.5">
      <c r="B23" s="32">
        <v>18</v>
      </c>
      <c r="C23" s="32">
        <f>B23-Data!$D$10</f>
        <v>-72</v>
      </c>
      <c r="D23" s="30">
        <f t="shared" si="4"/>
        <v>0.3141592653589793</v>
      </c>
      <c r="E23" s="30">
        <f t="shared" si="5"/>
        <v>-1.2566370614359172</v>
      </c>
      <c r="F23" s="26">
        <f>Val!$D$11*(1-COS(D23))+Val!$D$12*(1-COS(E23))</f>
        <v>0.00036996319659193</v>
      </c>
      <c r="G23" s="26">
        <f>Val!$D$11*((1-COS(Calc!D23))+1/Val!$D$18*(1-(1-(Val!$D$18*SIN(Calc!D23))^2)^0.5))+Val!$D$12*((1-COS(Calc!E23))+1/Val!$D$19*(1-(1-(Val!$D$19*SIN(Calc!E23))^2)^0.5))</f>
        <v>0.0004246938202834746</v>
      </c>
      <c r="H23" s="26">
        <f t="shared" si="6"/>
        <v>-5.473062369154455E-05</v>
      </c>
      <c r="I23" s="22">
        <f>Val!$D$11*(1-COS(D23))+Val!$D$14+Val!$D$13+Val!$D$12*((1-COS(Calc!E23)))+Val!$D$15</f>
        <v>0.00106996319659193</v>
      </c>
      <c r="J23" s="22">
        <f>Val!$D$11*((1-COS(Calc!$D23))+1/Val!$D$18*(1-(1-(Val!$D$18*SIN(Calc!$D23))^2)^0.5))+Val!$D$14+Val!$D$13+Val!$D$12*((1-COS(Calc!$E23))+1/Val!$D$19*(1-(1-(Val!$D$19*SIN(Calc!$E23))^2)^0.5))+Val!$D$15</f>
        <v>0.0011246938202834746</v>
      </c>
      <c r="K23" s="44">
        <f t="shared" si="7"/>
        <v>-5.4730623691544604E-05</v>
      </c>
      <c r="L23" s="50">
        <f>Val!$D$42*Val!$D$22/Val!$D$37/(1-Val!$D$39*COS(D23-Val!$D$40))</f>
        <v>125806.1565347762</v>
      </c>
      <c r="M23" s="50">
        <f>Val!$D$42*Val!$D$22/(Val!$D$11*((1-COS(Calc!D23))+1/Val!$D$18*(1-(1-(Val!$D$18*SIN(Calc!D23))^2)^0.5))/Val!$D$25+Val!$D$14/Val!$D$25+Val!$D$13/Val!$D$27+Val!$D$12*((1-COS(Calc!E23))+1/Val!$D$19*(1-(1-(Val!$D$19*SIN(Calc!E23))^2)^0.5))/Val!$D$26+Val!$D$15/Val!$D$26)</f>
        <v>117505.21474313867</v>
      </c>
      <c r="N23" s="16">
        <f t="shared" si="8"/>
        <v>-0.6962864371559013</v>
      </c>
      <c r="O23" s="16">
        <f t="shared" si="9"/>
        <v>-0.6515947312033468</v>
      </c>
      <c r="P23" s="16">
        <f t="shared" si="10"/>
        <v>5.506608977657484E-06</v>
      </c>
      <c r="Q23" s="16">
        <f t="shared" si="11"/>
        <v>5.517677738960407E-06</v>
      </c>
      <c r="R23" s="13">
        <f t="shared" si="0"/>
        <v>0.4346579285810367</v>
      </c>
      <c r="S23" s="13">
        <f t="shared" si="1"/>
        <v>0.4568914966135527</v>
      </c>
      <c r="T23" s="13">
        <f t="shared" si="2"/>
        <v>0.742305768211103</v>
      </c>
      <c r="U23" s="13">
        <f t="shared" si="3"/>
        <v>0.6933269491831657</v>
      </c>
      <c r="W23" s="387">
        <f>1*(M23-Val!$D$28)*PI()/4*Val!$D$2^2*(SIN(D23)+Val!$D$18/2*SIN(2*D23)/(1-Val!$D$18^2*SIN(D23)^2)^0.5)*Val!$D$4*(D23-D22)+1*(M23-Val!$D$28)*PI()/4*Val!$D$3^2*(SIN(E23)+Val!$D$19/2*SIN(2*E23)/(1-Val!$D$19^2*SIN(E23)^2)^0.5)*Val!$D$5*(E23-E22)</f>
        <v>-0.09097290916452232</v>
      </c>
    </row>
    <row r="24" spans="2:23" ht="13.5">
      <c r="B24" s="32">
        <v>19</v>
      </c>
      <c r="C24" s="32">
        <f>B24-Data!$D$10</f>
        <v>-71</v>
      </c>
      <c r="D24" s="30">
        <f t="shared" si="4"/>
        <v>0.33161255787892263</v>
      </c>
      <c r="E24" s="30">
        <f t="shared" si="5"/>
        <v>-1.239183768915974</v>
      </c>
      <c r="F24" s="26">
        <f>Val!$D$11*(1-COS(D24))+Val!$D$12*(1-COS(E24))</f>
        <v>0.00036445658761427254</v>
      </c>
      <c r="G24" s="26">
        <f>Val!$D$11*((1-COS(Calc!D24))+1/Val!$D$18*(1-(1-(Val!$D$18*SIN(Calc!D24))^2)^0.5))+Val!$D$12*((1-COS(Calc!E24))+1/Val!$D$19*(1-(1-(Val!$D$19*SIN(Calc!E24))^2)^0.5))</f>
        <v>0.00041917614254451417</v>
      </c>
      <c r="H24" s="26">
        <f t="shared" si="6"/>
        <v>-5.4719554930241626E-05</v>
      </c>
      <c r="I24" s="22">
        <f>Val!$D$11*(1-COS(D24))+Val!$D$14+Val!$D$13+Val!$D$12*((1-COS(Calc!E24)))+Val!$D$15</f>
        <v>0.0010644565876142726</v>
      </c>
      <c r="J24" s="22">
        <f>Val!$D$11*((1-COS(Calc!$D24))+1/Val!$D$18*(1-(1-(Val!$D$18*SIN(Calc!$D24))^2)^0.5))+Val!$D$14+Val!$D$13+Val!$D$12*((1-COS(Calc!$E24))+1/Val!$D$19*(1-(1-(Val!$D$19*SIN(Calc!$E24))^2)^0.5))+Val!$D$15</f>
        <v>0.001119176142544514</v>
      </c>
      <c r="K24" s="44">
        <f t="shared" si="7"/>
        <v>-5.4719554930241464E-05</v>
      </c>
      <c r="L24" s="50">
        <f>Val!$D$42*Val!$D$22/Val!$D$37/(1-Val!$D$39*COS(D24-Val!$D$40))</f>
        <v>127085.02930428904</v>
      </c>
      <c r="M24" s="50">
        <f>Val!$D$42*Val!$D$22/(Val!$D$11*((1-COS(Calc!D24))+1/Val!$D$18*(1-(1-(Val!$D$18*SIN(Calc!D24))^2)^0.5))/Val!$D$25+Val!$D$14/Val!$D$25+Val!$D$13/Val!$D$27+Val!$D$12*((1-COS(Calc!E24))+1/Val!$D$19*(1-(1-(Val!$D$19*SIN(Calc!E24))^2)^0.5))/Val!$D$26+Val!$D$15/Val!$D$26)</f>
        <v>118679.19544900434</v>
      </c>
      <c r="N24" s="16">
        <f t="shared" si="8"/>
        <v>-0.6786242795288684</v>
      </c>
      <c r="O24" s="16">
        <f t="shared" si="9"/>
        <v>-0.6350351697352414</v>
      </c>
      <c r="P24" s="16">
        <f t="shared" si="10"/>
        <v>5.313016337178526E-06</v>
      </c>
      <c r="Q24" s="16">
        <f t="shared" si="11"/>
        <v>5.324279398784618E-06</v>
      </c>
      <c r="R24" s="13">
        <f t="shared" si="0"/>
        <v>0.43242094392646346</v>
      </c>
      <c r="S24" s="13">
        <f t="shared" si="1"/>
        <v>0.45465001542594424</v>
      </c>
      <c r="T24" s="13">
        <f t="shared" si="2"/>
        <v>0.7498516201770604</v>
      </c>
      <c r="U24" s="13">
        <f t="shared" si="3"/>
        <v>0.700253896748659</v>
      </c>
      <c r="W24" s="387">
        <f>1*(M24-Val!$D$28)*PI()/4*Val!$D$2^2*(SIN(D24)+Val!$D$18/2*SIN(2*D24)/(1-Val!$D$18^2*SIN(D24)^2)^0.5)*Val!$D$4*(D24-D23)+1*(M24-Val!$D$28)*PI()/4*Val!$D$3^2*(SIN(E24)+Val!$D$19/2*SIN(2*E24)/(1-Val!$D$19^2*SIN(E24)^2)^0.5)*Val!$D$5*(E24-E23)</f>
        <v>-0.09421717724953328</v>
      </c>
    </row>
    <row r="25" spans="2:23" ht="13.5">
      <c r="B25" s="32">
        <v>20</v>
      </c>
      <c r="C25" s="32">
        <f>B25-Data!$D$10</f>
        <v>-70</v>
      </c>
      <c r="D25" s="30">
        <f t="shared" si="4"/>
        <v>0.3490658503988659</v>
      </c>
      <c r="E25" s="30">
        <f t="shared" si="5"/>
        <v>-1.2217304763960306</v>
      </c>
      <c r="F25" s="26">
        <f>Val!$D$11*(1-COS(D25))+Val!$D$12*(1-COS(E25))</f>
        <v>0.000359143571277094</v>
      </c>
      <c r="G25" s="26">
        <f>Val!$D$11*((1-COS(Calc!D25))+1/Val!$D$18*(1-(1-(Val!$D$18*SIN(Calc!D25))^2)^0.5))+Val!$D$12*((1-COS(Calc!E25))+1/Val!$D$19*(1-(1-(Val!$D$19*SIN(Calc!E25))^2)^0.5))</f>
        <v>0.00041385186314572955</v>
      </c>
      <c r="H25" s="26">
        <f t="shared" si="6"/>
        <v>-5.4708291868635535E-05</v>
      </c>
      <c r="I25" s="22">
        <f>Val!$D$11*(1-COS(D25))+Val!$D$14+Val!$D$13+Val!$D$12*((1-COS(Calc!E25)))+Val!$D$15</f>
        <v>0.001059143571277094</v>
      </c>
      <c r="J25" s="22">
        <f>Val!$D$11*((1-COS(Calc!$D25))+1/Val!$D$18*(1-(1-(Val!$D$18*SIN(Calc!$D25))^2)^0.5))+Val!$D$14+Val!$D$13+Val!$D$12*((1-COS(Calc!$E25))+1/Val!$D$19*(1-(1-(Val!$D$19*SIN(Calc!$E25))^2)^0.5))+Val!$D$15</f>
        <v>0.0011138518631457295</v>
      </c>
      <c r="K25" s="44">
        <f t="shared" si="7"/>
        <v>-5.470829186863548E-05</v>
      </c>
      <c r="L25" s="50">
        <f>Val!$D$42*Val!$D$22/Val!$D$37/(1-Val!$D$39*COS(D25-Val!$D$40))</f>
        <v>128372.22377437833</v>
      </c>
      <c r="M25" s="50">
        <f>Val!$D$42*Val!$D$22/(Val!$D$11*((1-COS(Calc!D25))+1/Val!$D$18*(1-(1-(Val!$D$18*SIN(Calc!D25))^2)^0.5))/Val!$D$25+Val!$D$14/Val!$D$25+Val!$D$13/Val!$D$27+Val!$D$12*((1-COS(Calc!E25))+1/Val!$D$19*(1-(1-(Val!$D$19*SIN(Calc!E25))^2)^0.5))/Val!$D$26+Val!$D$15/Val!$D$26)</f>
        <v>119863.94707661215</v>
      </c>
      <c r="N25" s="16">
        <f t="shared" si="8"/>
        <v>-0.660297371442541</v>
      </c>
      <c r="O25" s="16">
        <f t="shared" si="9"/>
        <v>-0.6178718595214888</v>
      </c>
      <c r="P25" s="16">
        <f t="shared" si="10"/>
        <v>5.117805300454805E-06</v>
      </c>
      <c r="Q25" s="16">
        <f t="shared" si="11"/>
        <v>5.129207783684665E-06</v>
      </c>
      <c r="R25" s="13">
        <f t="shared" si="0"/>
        <v>0.4302626036368245</v>
      </c>
      <c r="S25" s="13">
        <f t="shared" si="1"/>
        <v>0.45248709967142686</v>
      </c>
      <c r="T25" s="13">
        <f t="shared" si="2"/>
        <v>0.7574465734470349</v>
      </c>
      <c r="U25" s="13">
        <f t="shared" si="3"/>
        <v>0.707244396985646</v>
      </c>
      <c r="W25" s="387">
        <f>1*(M25-Val!$D$28)*PI()/4*Val!$D$2^2*(SIN(D25)+Val!$D$18/2*SIN(2*D25)/(1-Val!$D$18^2*SIN(D25)^2)^0.5)*Val!$D$4*(D25-D24)+1*(M25-Val!$D$28)*PI()/4*Val!$D$3^2*(SIN(E25)+Val!$D$19/2*SIN(2*E25)/(1-Val!$D$19^2*SIN(E25)^2)^0.5)*Val!$D$5*(E25-E24)</f>
        <v>-0.09703407803317428</v>
      </c>
    </row>
    <row r="26" spans="2:23" ht="13.5">
      <c r="B26" s="32">
        <v>21</v>
      </c>
      <c r="C26" s="32">
        <f>B26-Data!$D$10</f>
        <v>-69</v>
      </c>
      <c r="D26" s="30">
        <f t="shared" si="4"/>
        <v>0.3665191429188092</v>
      </c>
      <c r="E26" s="30">
        <f t="shared" si="5"/>
        <v>-1.2042771838760873</v>
      </c>
      <c r="F26" s="26">
        <f>Val!$D$11*(1-COS(D26))+Val!$D$12*(1-COS(E26))</f>
        <v>0.0003540257659766392</v>
      </c>
      <c r="G26" s="26">
        <f>Val!$D$11*((1-COS(Calc!D26))+1/Val!$D$18*(1-(1-(Val!$D$18*SIN(Calc!D26))^2)^0.5))+Val!$D$12*((1-COS(Calc!E26))+1/Val!$D$19*(1-(1-(Val!$D$19*SIN(Calc!E26))^2)^0.5))</f>
        <v>0.0004087226553620449</v>
      </c>
      <c r="H26" s="26">
        <f t="shared" si="6"/>
        <v>-5.4696889385405674E-05</v>
      </c>
      <c r="I26" s="22">
        <f>Val!$D$11*(1-COS(D26))+Val!$D$14+Val!$D$13+Val!$D$12*((1-COS(Calc!E26)))+Val!$D$15</f>
        <v>0.0010540257659766392</v>
      </c>
      <c r="J26" s="22">
        <f>Val!$D$11*((1-COS(Calc!$D26))+1/Val!$D$18*(1-(1-(Val!$D$18*SIN(Calc!$D26))^2)^0.5))+Val!$D$14+Val!$D$13+Val!$D$12*((1-COS(Calc!$E26))+1/Val!$D$19*(1-(1-(Val!$D$19*SIN(Calc!$E26))^2)^0.5))+Val!$D$15</f>
        <v>0.001108722655362045</v>
      </c>
      <c r="K26" s="44">
        <f t="shared" si="7"/>
        <v>-5.469688938540573E-05</v>
      </c>
      <c r="L26" s="50">
        <f>Val!$D$42*Val!$D$22/Val!$D$37/(1-Val!$D$39*COS(D26-Val!$D$40))</f>
        <v>129667.04606023701</v>
      </c>
      <c r="M26" s="50">
        <f>Val!$D$42*Val!$D$22/(Val!$D$11*((1-COS(Calc!D26))+1/Val!$D$18*(1-(1-(Val!$D$18*SIN(Calc!D26))^2)^0.5))/Val!$D$25+Val!$D$14/Val!$D$25+Val!$D$13/Val!$D$27+Val!$D$12*((1-COS(Calc!E26))+1/Val!$D$19*(1-(1-(Val!$D$19*SIN(Calc!E26))^2)^0.5))/Val!$D$26+Val!$D$15/Val!$D$26)</f>
        <v>121058.9734129305</v>
      </c>
      <c r="N26" s="16">
        <f t="shared" si="8"/>
        <v>-0.6412989968894921</v>
      </c>
      <c r="O26" s="16">
        <f t="shared" si="9"/>
        <v>-0.6000972685283289</v>
      </c>
      <c r="P26" s="16">
        <f t="shared" si="10"/>
        <v>4.9210353306592585E-06</v>
      </c>
      <c r="Q26" s="16">
        <f t="shared" si="11"/>
        <v>4.932521679577439E-06</v>
      </c>
      <c r="R26" s="13">
        <f t="shared" si="0"/>
        <v>0.4281835651634805</v>
      </c>
      <c r="S26" s="13">
        <f t="shared" si="1"/>
        <v>0.45040342909507497</v>
      </c>
      <c r="T26" s="13">
        <f t="shared" si="2"/>
        <v>0.7650865338279523</v>
      </c>
      <c r="U26" s="13">
        <f t="shared" si="3"/>
        <v>0.7142955220422172</v>
      </c>
      <c r="W26" s="387">
        <f>1*(M26-Val!$D$28)*PI()/4*Val!$D$2^2*(SIN(D26)+Val!$D$18/2*SIN(2*D26)/(1-Val!$D$18^2*SIN(D26)^2)^0.5)*Val!$D$4*(D26-D25)+1*(M26-Val!$D$28)*PI()/4*Val!$D$3^2*(SIN(E26)+Val!$D$19/2*SIN(2*E26)/(1-Val!$D$19^2*SIN(E26)^2)^0.5)*Val!$D$5*(E26-E25)</f>
        <v>-0.09940994171300462</v>
      </c>
    </row>
    <row r="27" spans="2:23" ht="13.5">
      <c r="B27" s="32">
        <v>22</v>
      </c>
      <c r="C27" s="32">
        <f>B27-Data!$D$10</f>
        <v>-68</v>
      </c>
      <c r="D27" s="30">
        <f t="shared" si="4"/>
        <v>0.3839724354387525</v>
      </c>
      <c r="E27" s="30">
        <f t="shared" si="5"/>
        <v>-1.1868238913561442</v>
      </c>
      <c r="F27" s="26">
        <f>Val!$D$11*(1-COS(D27))+Val!$D$12*(1-COS(E27))</f>
        <v>0.00034910473064597995</v>
      </c>
      <c r="G27" s="26">
        <f>Val!$D$11*((1-COS(Calc!D27))+1/Val!$D$18*(1-(1-(Val!$D$18*SIN(Calc!D27))^2)^0.5))+Val!$D$12*((1-COS(Calc!E27))+1/Val!$D$19*(1-(1-(Val!$D$19*SIN(Calc!E27))^2)^0.5))</f>
        <v>0.00040379013368246745</v>
      </c>
      <c r="H27" s="26">
        <f t="shared" si="6"/>
        <v>-5.4685403036487494E-05</v>
      </c>
      <c r="I27" s="22">
        <f>Val!$D$11*(1-COS(D27))+Val!$D$14+Val!$D$13+Val!$D$12*((1-COS(Calc!E27)))+Val!$D$15</f>
        <v>0.0010491047306459798</v>
      </c>
      <c r="J27" s="22">
        <f>Val!$D$11*((1-COS(Calc!$D27))+1/Val!$D$18*(1-(1-(Val!$D$18*SIN(Calc!$D27))^2)^0.5))+Val!$D$14+Val!$D$13+Val!$D$12*((1-COS(Calc!$E27))+1/Val!$D$19*(1-(1-(Val!$D$19*SIN(Calc!$E27))^2)^0.5))+Val!$D$15</f>
        <v>0.0011037901336824675</v>
      </c>
      <c r="K27" s="44">
        <f t="shared" si="7"/>
        <v>-5.468540303648771E-05</v>
      </c>
      <c r="L27" s="50">
        <f>Val!$D$42*Val!$D$22/Val!$D$37/(1-Val!$D$39*COS(D27-Val!$D$40))</f>
        <v>130968.75669209349</v>
      </c>
      <c r="M27" s="50">
        <f>Val!$D$42*Val!$D$22/(Val!$D$11*((1-COS(Calc!D27))+1/Val!$D$18*(1-(1-(Val!$D$18*SIN(Calc!D27))^2)^0.5))/Val!$D$25+Val!$D$14/Val!$D$25+Val!$D$13/Val!$D$27+Val!$D$12*((1-COS(Calc!E27))+1/Val!$D$19*(1-(1-(Val!$D$19*SIN(Calc!E27))^2)^0.5))/Val!$D$26+Val!$D$15/Val!$D$26)</f>
        <v>122263.7355426011</v>
      </c>
      <c r="N27" s="16">
        <f t="shared" si="8"/>
        <v>-0.6216230863922713</v>
      </c>
      <c r="O27" s="16">
        <f t="shared" si="9"/>
        <v>-0.5817043399337389</v>
      </c>
      <c r="P27" s="16">
        <f t="shared" si="10"/>
        <v>4.722766365831065E-06</v>
      </c>
      <c r="Q27" s="16">
        <f t="shared" si="11"/>
        <v>4.7342806179904865E-06</v>
      </c>
      <c r="R27" s="13">
        <f t="shared" si="0"/>
        <v>0.4261844618016905</v>
      </c>
      <c r="S27" s="13">
        <f t="shared" si="1"/>
        <v>0.4483996595609871</v>
      </c>
      <c r="T27" s="13">
        <f t="shared" si="2"/>
        <v>0.772767138157532</v>
      </c>
      <c r="U27" s="13">
        <f t="shared" si="3"/>
        <v>0.7214040921059531</v>
      </c>
      <c r="W27" s="387">
        <f>1*(M27-Val!$D$28)*PI()/4*Val!$D$2^2*(SIN(D27)+Val!$D$18/2*SIN(2*D27)/(1-Val!$D$18^2*SIN(D27)^2)^0.5)*Val!$D$4*(D27-D26)+1*(M27-Val!$D$28)*PI()/4*Val!$D$3^2*(SIN(E27)+Val!$D$19/2*SIN(2*E27)/(1-Val!$D$19^2*SIN(E27)^2)^0.5)*Val!$D$5*(E27-E26)</f>
        <v>-0.1013314716366121</v>
      </c>
    </row>
    <row r="28" spans="2:23" ht="13.5">
      <c r="B28" s="32">
        <v>23</v>
      </c>
      <c r="C28" s="32">
        <f>B28-Data!$D$10</f>
        <v>-67</v>
      </c>
      <c r="D28" s="30">
        <f t="shared" si="4"/>
        <v>0.4014257279586958</v>
      </c>
      <c r="E28" s="30">
        <f t="shared" si="5"/>
        <v>-1.1693705988362009</v>
      </c>
      <c r="F28" s="26">
        <f>Val!$D$11*(1-COS(D28))+Val!$D$12*(1-COS(E28))</f>
        <v>0.0003443819642801489</v>
      </c>
      <c r="G28" s="26">
        <f>Val!$D$11*((1-COS(Calc!D28))+1/Val!$D$18*(1-(1-(Val!$D$18*SIN(Calc!D28))^2)^0.5))+Val!$D$12*((1-COS(Calc!E28))+1/Val!$D$19*(1-(1-(Val!$D$19*SIN(Calc!E28))^2)^0.5))</f>
        <v>0.00039905585306447696</v>
      </c>
      <c r="H28" s="26">
        <f t="shared" si="6"/>
        <v>-5.467388878432807E-05</v>
      </c>
      <c r="I28" s="22">
        <f>Val!$D$11*(1-COS(D28))+Val!$D$14+Val!$D$13+Val!$D$12*((1-COS(Calc!E28)))+Val!$D$15</f>
        <v>0.0010443819642801488</v>
      </c>
      <c r="J28" s="22">
        <f>Val!$D$11*((1-COS(Calc!$D28))+1/Val!$D$18*(1-(1-(Val!$D$18*SIN(Calc!$D28))^2)^0.5))+Val!$D$14+Val!$D$13+Val!$D$12*((1-COS(Calc!$E28))+1/Val!$D$19*(1-(1-(Val!$D$19*SIN(Calc!$E28))^2)^0.5))+Val!$D$15</f>
        <v>0.001099055853064477</v>
      </c>
      <c r="K28" s="44">
        <f t="shared" si="7"/>
        <v>-5.467388878432813E-05</v>
      </c>
      <c r="L28" s="50">
        <f>Val!$D$42*Val!$D$22/Val!$D$37/(1-Val!$D$39*COS(D28-Val!$D$40))</f>
        <v>132276.56955977643</v>
      </c>
      <c r="M28" s="50">
        <f>Val!$D$42*Val!$D$22/(Val!$D$11*((1-COS(Calc!D28))+1/Val!$D$18*(1-(1-(Val!$D$18*SIN(Calc!D28))^2)^0.5))/Val!$D$25+Val!$D$14/Val!$D$25+Val!$D$13/Val!$D$27+Val!$D$12*((1-COS(Calc!E28))+1/Val!$D$19*(1-(1-(Val!$D$19*SIN(Calc!E28))^2)^0.5))/Val!$D$26+Val!$D$15/Val!$D$26)</f>
        <v>123477.6502650851</v>
      </c>
      <c r="N28" s="16">
        <f t="shared" si="8"/>
        <v>-0.6012642742465061</v>
      </c>
      <c r="O28" s="16">
        <f t="shared" si="9"/>
        <v>-0.562686544934169</v>
      </c>
      <c r="P28" s="16">
        <f t="shared" si="10"/>
        <v>4.523058800617137E-06</v>
      </c>
      <c r="Q28" s="16">
        <f t="shared" si="11"/>
        <v>4.53454485974293E-06</v>
      </c>
      <c r="R28" s="13">
        <f t="shared" si="0"/>
        <v>0.42426590249770424</v>
      </c>
      <c r="S28" s="13">
        <f t="shared" si="1"/>
        <v>0.4464764227493924</v>
      </c>
      <c r="T28" s="13">
        <f t="shared" si="2"/>
        <v>0.7804837480768041</v>
      </c>
      <c r="U28" s="13">
        <f t="shared" si="3"/>
        <v>0.7285666660644634</v>
      </c>
      <c r="W28" s="387">
        <f>1*(M28-Val!$D$28)*PI()/4*Val!$D$2^2*(SIN(D28)+Val!$D$18/2*SIN(2*D28)/(1-Val!$D$18^2*SIN(D28)^2)^0.5)*Val!$D$4*(D28-D27)+1*(M28-Val!$D$28)*PI()/4*Val!$D$3^2*(SIN(E28)+Val!$D$19/2*SIN(2*E28)/(1-Val!$D$19^2*SIN(E28)^2)^0.5)*Val!$D$5*(E28-E27)</f>
        <v>-0.10278579755046278</v>
      </c>
    </row>
    <row r="29" spans="2:23" ht="13.5">
      <c r="B29" s="32">
        <v>24</v>
      </c>
      <c r="C29" s="32">
        <f>B29-Data!$D$10</f>
        <v>-66</v>
      </c>
      <c r="D29" s="30">
        <f t="shared" si="4"/>
        <v>0.4188790204786391</v>
      </c>
      <c r="E29" s="30">
        <f t="shared" si="5"/>
        <v>-1.1519173063162575</v>
      </c>
      <c r="F29" s="26">
        <f>Val!$D$11*(1-COS(D29))+Val!$D$12*(1-COS(E29))</f>
        <v>0.00033985890547953175</v>
      </c>
      <c r="G29" s="26">
        <f>Val!$D$11*((1-COS(Calc!D29))+1/Val!$D$18*(1-(1-(Val!$D$18*SIN(Calc!D29))^2)^0.5))+Val!$D$12*((1-COS(Calc!E29))+1/Val!$D$19*(1-(1-(Val!$D$19*SIN(Calc!E29))^2)^0.5))</f>
        <v>0.00039452130820473403</v>
      </c>
      <c r="H29" s="26">
        <f t="shared" si="6"/>
        <v>-5.466240272520228E-05</v>
      </c>
      <c r="I29" s="22">
        <f>Val!$D$11*(1-COS(D29))+Val!$D$14+Val!$D$13+Val!$D$12*((1-COS(Calc!E29)))+Val!$D$15</f>
        <v>0.0010398589054795317</v>
      </c>
      <c r="J29" s="22">
        <f>Val!$D$11*((1-COS(Calc!$D29))+1/Val!$D$18*(1-(1-(Val!$D$18*SIN(Calc!$D29))^2)^0.5))+Val!$D$14+Val!$D$13+Val!$D$12*((1-COS(Calc!$E29))+1/Val!$D$19*(1-(1-(Val!$D$19*SIN(Calc!$E29))^2)^0.5))+Val!$D$15</f>
        <v>0.001094521308204734</v>
      </c>
      <c r="K29" s="44">
        <f t="shared" si="7"/>
        <v>-5.466240272520239E-05</v>
      </c>
      <c r="L29" s="50">
        <f>Val!$D$42*Val!$D$22/Val!$D$37/(1-Val!$D$39*COS(D29-Val!$D$40))</f>
        <v>133589.65095651138</v>
      </c>
      <c r="M29" s="50">
        <f>Val!$D$42*Val!$D$22/(Val!$D$11*((1-COS(Calc!D29))+1/Val!$D$18*(1-(1-(Val!$D$18*SIN(Calc!D29))^2)^0.5))/Val!$D$25+Val!$D$14/Val!$D$25+Val!$D$13/Val!$D$27+Val!$D$12*((1-COS(Calc!E29))+1/Val!$D$19*(1-(1-(Val!$D$19*SIN(Calc!E29))^2)^0.5))/Val!$D$26+Val!$D$15/Val!$D$26)</f>
        <v>124700.08855480398</v>
      </c>
      <c r="N29" s="16">
        <f t="shared" si="8"/>
        <v>-0.5802179574110461</v>
      </c>
      <c r="O29" s="16">
        <f t="shared" si="9"/>
        <v>-0.5430379377679903</v>
      </c>
      <c r="P29" s="16">
        <f t="shared" si="10"/>
        <v>4.3219734678769475E-06</v>
      </c>
      <c r="Q29" s="16">
        <f t="shared" si="11"/>
        <v>4.333375377163083E-06</v>
      </c>
      <c r="R29" s="13">
        <f t="shared" si="0"/>
        <v>0.4224284716632713</v>
      </c>
      <c r="S29" s="13">
        <f t="shared" si="1"/>
        <v>0.44463432586038576</v>
      </c>
      <c r="T29" s="13">
        <f t="shared" si="2"/>
        <v>0.7882314443881338</v>
      </c>
      <c r="U29" s="13">
        <f t="shared" si="3"/>
        <v>0.7357795324196136</v>
      </c>
      <c r="W29" s="387">
        <f>1*(M29-Val!$D$28)*PI()/4*Val!$D$2^2*(SIN(D29)+Val!$D$18/2*SIN(2*D29)/(1-Val!$D$18^2*SIN(D29)^2)^0.5)*Val!$D$4*(D29-D28)+1*(M29-Val!$D$28)*PI()/4*Val!$D$3^2*(SIN(E29)+Val!$D$19/2*SIN(2*E29)/(1-Val!$D$19^2*SIN(E29)^2)^0.5)*Val!$D$5*(E29-E28)</f>
        <v>-0.1037605312520691</v>
      </c>
    </row>
    <row r="30" spans="2:23" ht="13.5">
      <c r="B30" s="32">
        <v>25</v>
      </c>
      <c r="C30" s="32">
        <f>B30-Data!$D$10</f>
        <v>-65</v>
      </c>
      <c r="D30" s="30">
        <f t="shared" si="4"/>
        <v>0.4363323129985824</v>
      </c>
      <c r="E30" s="30">
        <f t="shared" si="5"/>
        <v>-1.1344640137963142</v>
      </c>
      <c r="F30" s="26">
        <f>Val!$D$11*(1-COS(D30))+Val!$D$12*(1-COS(E30))</f>
        <v>0.0003355369320116548</v>
      </c>
      <c r="G30" s="26">
        <f>Val!$D$11*((1-COS(Calc!D30))+1/Val!$D$18*(1-(1-(Val!$D$18*SIN(Calc!D30))^2)^0.5))+Val!$D$12*((1-COS(Calc!E30))+1/Val!$D$19*(1-(1-(Val!$D$19*SIN(Calc!E30))^2)^0.5))</f>
        <v>0.00039018793282757095</v>
      </c>
      <c r="H30" s="26">
        <f t="shared" si="6"/>
        <v>-5.4651000815916144E-05</v>
      </c>
      <c r="I30" s="22">
        <f>Val!$D$11*(1-COS(D30))+Val!$D$14+Val!$D$13+Val!$D$12*((1-COS(Calc!E30)))+Val!$D$15</f>
        <v>0.0010355369320116548</v>
      </c>
      <c r="J30" s="22">
        <f>Val!$D$11*((1-COS(Calc!$D30))+1/Val!$D$18*(1-(1-(Val!$D$18*SIN(Calc!$D30))^2)^0.5))+Val!$D$14+Val!$D$13+Val!$D$12*((1-COS(Calc!$E30))+1/Val!$D$19*(1-(1-(Val!$D$19*SIN(Calc!$E30))^2)^0.5))+Val!$D$15</f>
        <v>0.0010901879328275709</v>
      </c>
      <c r="K30" s="44">
        <f t="shared" si="7"/>
        <v>-5.465100081591609E-05</v>
      </c>
      <c r="L30" s="50">
        <f>Val!$D$42*Val!$D$22/Val!$D$37/(1-Val!$D$39*COS(D30-Val!$D$40))</f>
        <v>134907.11873609375</v>
      </c>
      <c r="M30" s="50">
        <f>Val!$D$42*Val!$D$22/(Val!$D$11*((1-COS(Calc!D30))+1/Val!$D$18*(1-(1-(Val!$D$18*SIN(Calc!D30))^2)^0.5))/Val!$D$25+Val!$D$14/Val!$D$25+Val!$D$13/Val!$D$27+Val!$D$12*((1-COS(Calc!E30))+1/Val!$D$19*(1-(1-(Val!$D$19*SIN(Calc!E30))^2)^0.5))/Val!$D$26+Val!$D$15/Val!$D$26)</f>
        <v>125930.37407706963</v>
      </c>
      <c r="N30" s="16">
        <f t="shared" si="8"/>
        <v>-0.5584803558690542</v>
      </c>
      <c r="O30" s="16">
        <f t="shared" si="9"/>
        <v>-0.5227532128608077</v>
      </c>
      <c r="P30" s="16">
        <f t="shared" si="10"/>
        <v>4.119571620150376E-06</v>
      </c>
      <c r="Q30" s="16">
        <f t="shared" si="11"/>
        <v>4.130833834832157E-06</v>
      </c>
      <c r="R30" s="13">
        <f t="shared" si="0"/>
        <v>0.4206727289976233</v>
      </c>
      <c r="S30" s="13">
        <f t="shared" si="1"/>
        <v>0.4428739513248865</v>
      </c>
      <c r="T30" s="13">
        <f t="shared" si="2"/>
        <v>0.7960050220822105</v>
      </c>
      <c r="U30" s="13">
        <f t="shared" si="3"/>
        <v>0.7430387005309289</v>
      </c>
      <c r="W30" s="387">
        <f>1*(M30-Val!$D$28)*PI()/4*Val!$D$2^2*(SIN(D30)+Val!$D$18/2*SIN(2*D30)/(1-Val!$D$18^2*SIN(D30)^2)^0.5)*Val!$D$4*(D30-D29)+1*(M30-Val!$D$28)*PI()/4*Val!$D$3^2*(SIN(E30)+Val!$D$19/2*SIN(2*E30)/(1-Val!$D$19^2*SIN(E30)^2)^0.5)*Val!$D$5*(E30-E29)</f>
        <v>-0.10424382456548452</v>
      </c>
    </row>
    <row r="31" spans="2:23" ht="13.5">
      <c r="B31" s="32">
        <v>26</v>
      </c>
      <c r="C31" s="32">
        <f>B31-Data!$D$10</f>
        <v>-64</v>
      </c>
      <c r="D31" s="30">
        <f t="shared" si="4"/>
        <v>0.4537856055185257</v>
      </c>
      <c r="E31" s="30">
        <f t="shared" si="5"/>
        <v>-1.117010721276371</v>
      </c>
      <c r="F31" s="26">
        <f>Val!$D$11*(1-COS(D31))+Val!$D$12*(1-COS(E31))</f>
        <v>0.00033141736039150443</v>
      </c>
      <c r="G31" s="26">
        <f>Val!$D$11*((1-COS(Calc!D31))+1/Val!$D$18*(1-(1-(Val!$D$18*SIN(Calc!D31))^2)^0.5))+Val!$D$12*((1-COS(Calc!E31))+1/Val!$D$19*(1-(1-(Val!$D$19*SIN(Calc!E31))^2)^0.5))</f>
        <v>0.0003860570989927388</v>
      </c>
      <c r="H31" s="26">
        <f t="shared" si="6"/>
        <v>-5.463973860123436E-05</v>
      </c>
      <c r="I31" s="22">
        <f>Val!$D$11*(1-COS(D31))+Val!$D$14+Val!$D$13+Val!$D$12*((1-COS(Calc!E31)))+Val!$D$15</f>
        <v>0.0010314173603915044</v>
      </c>
      <c r="J31" s="22">
        <f>Val!$D$11*((1-COS(Calc!$D31))+1/Val!$D$18*(1-(1-(Val!$D$18*SIN(Calc!$D31))^2)^0.5))+Val!$D$14+Val!$D$13+Val!$D$12*((1-COS(Calc!$E31))+1/Val!$D$19*(1-(1-(Val!$D$19*SIN(Calc!$E31))^2)^0.5))+Val!$D$15</f>
        <v>0.0010860570989927388</v>
      </c>
      <c r="K31" s="44">
        <f t="shared" si="7"/>
        <v>-5.463973860123442E-05</v>
      </c>
      <c r="L31" s="50">
        <f>Val!$D$42*Val!$D$22/Val!$D$37/(1-Val!$D$39*COS(D31-Val!$D$40))</f>
        <v>136228.04159820374</v>
      </c>
      <c r="M31" s="50">
        <f>Val!$D$42*Val!$D$22/(Val!$D$11*((1-COS(Calc!D31))+1/Val!$D$18*(1-(1-(Val!$D$18*SIN(Calc!D31))^2)^0.5))/Val!$D$25+Val!$D$14/Val!$D$25+Val!$D$13/Val!$D$27+Val!$D$12*((1-COS(Calc!E31))+1/Val!$D$19*(1-(1-(Val!$D$19*SIN(Calc!E31))^2)^0.5))/Val!$D$26+Val!$D$15/Val!$D$26)</f>
        <v>127167.78177361464</v>
      </c>
      <c r="N31" s="16">
        <f t="shared" si="8"/>
        <v>-0.5360485742549762</v>
      </c>
      <c r="O31" s="16">
        <f t="shared" si="9"/>
        <v>-0.5018277639777676</v>
      </c>
      <c r="P31" s="16">
        <f t="shared" si="10"/>
        <v>3.915914911001132E-06</v>
      </c>
      <c r="Q31" s="16">
        <f t="shared" si="11"/>
        <v>3.926982568883694E-06</v>
      </c>
      <c r="R31" s="13">
        <f t="shared" si="0"/>
        <v>0.4189992093169845</v>
      </c>
      <c r="S31" s="13">
        <f t="shared" si="1"/>
        <v>0.44119585652342075</v>
      </c>
      <c r="T31" s="13">
        <f t="shared" si="2"/>
        <v>0.8037989861211255</v>
      </c>
      <c r="U31" s="13">
        <f t="shared" si="3"/>
        <v>0.7503398922696677</v>
      </c>
      <c r="W31" s="387">
        <f>1*(M31-Val!$D$28)*PI()/4*Val!$D$2^2*(SIN(D31)+Val!$D$18/2*SIN(2*D31)/(1-Val!$D$18^2*SIN(D31)^2)^0.5)*Val!$D$4*(D31-D30)+1*(M31-Val!$D$28)*PI()/4*Val!$D$3^2*(SIN(E31)+Val!$D$19/2*SIN(2*E31)/(1-Val!$D$19^2*SIN(E31)^2)^0.5)*Val!$D$5*(E31-E30)</f>
        <v>-0.10422442953442031</v>
      </c>
    </row>
    <row r="32" spans="2:23" ht="13.5">
      <c r="B32" s="32">
        <v>27</v>
      </c>
      <c r="C32" s="32">
        <f>B32-Data!$D$10</f>
        <v>-63</v>
      </c>
      <c r="D32" s="30">
        <f t="shared" si="4"/>
        <v>0.47123889803846897</v>
      </c>
      <c r="E32" s="30">
        <f t="shared" si="5"/>
        <v>-1.0995574287564276</v>
      </c>
      <c r="F32" s="26">
        <f>Val!$D$11*(1-COS(D32))+Val!$D$12*(1-COS(E32))</f>
        <v>0.0003275014454805033</v>
      </c>
      <c r="G32" s="26">
        <f>Val!$D$11*((1-COS(Calc!D32))+1/Val!$D$18*(1-(1-(Val!$D$18*SIN(Calc!D32))^2)^0.5))+Val!$D$12*((1-COS(Calc!E32))+1/Val!$D$19*(1-(1-(Val!$D$19*SIN(Calc!E32))^2)^0.5))</f>
        <v>0.0003821301164238551</v>
      </c>
      <c r="H32" s="26">
        <f t="shared" si="6"/>
        <v>-5.46286709433518E-05</v>
      </c>
      <c r="I32" s="22">
        <f>Val!$D$11*(1-COS(D32))+Val!$D$14+Val!$D$13+Val!$D$12*((1-COS(Calc!E32)))+Val!$D$15</f>
        <v>0.0010275014454805033</v>
      </c>
      <c r="J32" s="22">
        <f>Val!$D$11*((1-COS(Calc!$D32))+1/Val!$D$18*(1-(1-(Val!$D$18*SIN(Calc!$D32))^2)^0.5))+Val!$D$14+Val!$D$13+Val!$D$12*((1-COS(Calc!$E32))+1/Val!$D$19*(1-(1-(Val!$D$19*SIN(Calc!$E32))^2)^0.5))+Val!$D$15</f>
        <v>0.0010821301164238549</v>
      </c>
      <c r="K32" s="44">
        <f t="shared" si="7"/>
        <v>-5.462867094335158E-05</v>
      </c>
      <c r="L32" s="50">
        <f>Val!$D$42*Val!$D$22/Val!$D$37/(1-Val!$D$39*COS(D32-Val!$D$40))</f>
        <v>137551.43851717954</v>
      </c>
      <c r="M32" s="50">
        <f>Val!$D$42*Val!$D$22/(Val!$D$11*((1-COS(Calc!D32))+1/Val!$D$18*(1-(1-(Val!$D$18*SIN(Calc!D32))^2)^0.5))/Val!$D$25+Val!$D$14/Val!$D$25+Val!$D$13/Val!$D$27+Val!$D$12*((1-COS(Calc!E32))+1/Val!$D$19*(1-(1-(Val!$D$19*SIN(Calc!E32))^2)^0.5))/Val!$D$26+Val!$D$15/Val!$D$26)</f>
        <v>128411.5365325485</v>
      </c>
      <c r="N32" s="16">
        <f t="shared" si="8"/>
        <v>-0.5129206645117778</v>
      </c>
      <c r="O32" s="16">
        <f t="shared" si="9"/>
        <v>-0.4802577452325604</v>
      </c>
      <c r="P32" s="16">
        <f t="shared" si="10"/>
        <v>3.7110653762357755E-06</v>
      </c>
      <c r="Q32" s="16">
        <f t="shared" si="11"/>
        <v>3.7218845648560287E-06</v>
      </c>
      <c r="R32" s="13">
        <f t="shared" si="0"/>
        <v>0.4174084223916614</v>
      </c>
      <c r="S32" s="13">
        <f t="shared" si="1"/>
        <v>0.43960057351331183</v>
      </c>
      <c r="T32" s="13">
        <f t="shared" si="2"/>
        <v>0.811607548067909</v>
      </c>
      <c r="U32" s="13">
        <f t="shared" si="3"/>
        <v>0.7576785341710391</v>
      </c>
      <c r="W32" s="387">
        <f>1*(M32-Val!$D$28)*PI()/4*Val!$D$2^2*(SIN(D32)+Val!$D$18/2*SIN(2*D32)/(1-Val!$D$18^2*SIN(D32)^2)^0.5)*Val!$D$4*(D32-D31)+1*(M32-Val!$D$28)*PI()/4*Val!$D$3^2*(SIN(E32)+Val!$D$19/2*SIN(2*E32)/(1-Val!$D$19^2*SIN(E32)^2)^0.5)*Val!$D$5*(E32-E31)</f>
        <v>-0.10369176069971336</v>
      </c>
    </row>
    <row r="33" spans="2:23" ht="13.5">
      <c r="B33" s="32">
        <v>28</v>
      </c>
      <c r="C33" s="32">
        <f>B33-Data!$D$10</f>
        <v>-62</v>
      </c>
      <c r="D33" s="30">
        <f t="shared" si="4"/>
        <v>0.4886921905584123</v>
      </c>
      <c r="E33" s="30">
        <f t="shared" si="5"/>
        <v>-1.0821041362364843</v>
      </c>
      <c r="F33" s="26">
        <f>Val!$D$11*(1-COS(D33))+Val!$D$12*(1-COS(E33))</f>
        <v>0.0003237903801042675</v>
      </c>
      <c r="G33" s="26">
        <f>Val!$D$11*((1-COS(Calc!D33))+1/Val!$D$18*(1-(1-(Val!$D$18*SIN(Calc!D33))^2)^0.5))+Val!$D$12*((1-COS(Calc!E33))+1/Val!$D$19*(1-(1-(Val!$D$19*SIN(Calc!E33))^2)^0.5))</f>
        <v>0.00037840823185899907</v>
      </c>
      <c r="H33" s="26">
        <f t="shared" si="6"/>
        <v>-5.461785175473155E-05</v>
      </c>
      <c r="I33" s="22">
        <f>Val!$D$11*(1-COS(D33))+Val!$D$14+Val!$D$13+Val!$D$12*((1-COS(Calc!E33)))+Val!$D$15</f>
        <v>0.0010237903801042676</v>
      </c>
      <c r="J33" s="22">
        <f>Val!$D$11*((1-COS(Calc!$D33))+1/Val!$D$18*(1-(1-(Val!$D$18*SIN(Calc!$D33))^2)^0.5))+Val!$D$14+Val!$D$13+Val!$D$12*((1-COS(Calc!$E33))+1/Val!$D$19*(1-(1-(Val!$D$19*SIN(Calc!$E33))^2)^0.5))+Val!$D$15</f>
        <v>0.0010784082318589991</v>
      </c>
      <c r="K33" s="44">
        <f t="shared" si="7"/>
        <v>-5.461785175473149E-05</v>
      </c>
      <c r="L33" s="50">
        <f>Val!$D$42*Val!$D$22/Val!$D$37/(1-Val!$D$39*COS(D33-Val!$D$40))</f>
        <v>138876.27833002986</v>
      </c>
      <c r="M33" s="50">
        <f>Val!$D$42*Val!$D$22/(Val!$D$11*((1-COS(Calc!D33))+1/Val!$D$18*(1-(1-(Val!$D$18*SIN(Calc!D33))^2)^0.5))/Val!$D$25+Val!$D$14/Val!$D$25+Val!$D$13/Val!$D$27+Val!$D$12*((1-COS(Calc!E33))+1/Val!$D$19*(1-(1-(Val!$D$19*SIN(Calc!E33))^2)^0.5))/Val!$D$26+Val!$D$15/Val!$D$26)</f>
        <v>129660.81195855676</v>
      </c>
      <c r="N33" s="16">
        <f t="shared" si="8"/>
        <v>-0.4890956893111354</v>
      </c>
      <c r="O33" s="16">
        <f t="shared" si="9"/>
        <v>-0.45804013377973457</v>
      </c>
      <c r="P33" s="16">
        <f t="shared" si="10"/>
        <v>3.505085415006666E-06</v>
      </c>
      <c r="Q33" s="16">
        <f t="shared" si="11"/>
        <v>3.5156034341331157E-06</v>
      </c>
      <c r="R33" s="13">
        <f t="shared" si="0"/>
        <v>0.4159008527907618</v>
      </c>
      <c r="S33" s="13">
        <f t="shared" si="1"/>
        <v>0.43808860876486927</v>
      </c>
      <c r="T33" s="13">
        <f t="shared" si="2"/>
        <v>0.819424623655642</v>
      </c>
      <c r="U33" s="13">
        <f t="shared" si="3"/>
        <v>0.7650497501778963</v>
      </c>
      <c r="W33" s="387">
        <f>1*(M33-Val!$D$28)*PI()/4*Val!$D$2^2*(SIN(D33)+Val!$D$18/2*SIN(2*D33)/(1-Val!$D$18^2*SIN(D33)^2)^0.5)*Val!$D$4*(D33-D32)+1*(M33-Val!$D$28)*PI()/4*Val!$D$3^2*(SIN(E33)+Val!$D$19/2*SIN(2*E33)/(1-Val!$D$19^2*SIN(E33)^2)^0.5)*Val!$D$5*(E33-E32)</f>
        <v>-0.10263595929797295</v>
      </c>
    </row>
    <row r="34" spans="2:23" ht="13.5">
      <c r="B34" s="32">
        <v>29</v>
      </c>
      <c r="C34" s="32">
        <f>B34-Data!$D$10</f>
        <v>-61</v>
      </c>
      <c r="D34" s="30">
        <f aca="true" t="shared" si="12" ref="D34:D42">PI()/180*B34</f>
        <v>0.5061454830783556</v>
      </c>
      <c r="E34" s="30">
        <f aca="true" t="shared" si="13" ref="E34:E42">PI()/180*C34</f>
        <v>-1.064650843716541</v>
      </c>
      <c r="F34" s="26">
        <f>Val!$D$11*(1-COS(D34))+Val!$D$12*(1-COS(E34))</f>
        <v>0.00032028529468926085</v>
      </c>
      <c r="G34" s="26">
        <f>Val!$D$11*((1-COS(Calc!D34))+1/Val!$D$18*(1-(1-(Val!$D$18*SIN(Calc!D34))^2)^0.5))+Val!$D$12*((1-COS(Calc!E34))+1/Val!$D$19*(1-(1-(Val!$D$19*SIN(Calc!E34))^2)^0.5))</f>
        <v>0.00037489262842486595</v>
      </c>
      <c r="H34" s="26">
        <f aca="true" t="shared" si="14" ref="H34:H42">F34-G34</f>
        <v>-5.46073337356051E-05</v>
      </c>
      <c r="I34" s="22">
        <f>Val!$D$11*(1-COS(D34))+Val!$D$14+Val!$D$13+Val!$D$12*((1-COS(Calc!E34)))+Val!$D$15</f>
        <v>0.0010202852946892607</v>
      </c>
      <c r="J34" s="22">
        <f>Val!$D$11*((1-COS(Calc!$D34))+1/Val!$D$18*(1-(1-(Val!$D$18*SIN(Calc!$D34))^2)^0.5))+Val!$D$14+Val!$D$13+Val!$D$12*((1-COS(Calc!$E34))+1/Val!$D$19*(1-(1-(Val!$D$19*SIN(Calc!$E34))^2)^0.5))+Val!$D$15</f>
        <v>0.001074892628424866</v>
      </c>
      <c r="K34" s="44">
        <f aca="true" t="shared" si="15" ref="K34:K42">I34-J34</f>
        <v>-5.460733373560526E-05</v>
      </c>
      <c r="L34" s="50">
        <f>Val!$D$42*Val!$D$22/Val!$D$37/(1-Val!$D$39*COS(D34-Val!$D$40))</f>
        <v>140201.47949983174</v>
      </c>
      <c r="M34" s="50">
        <f>Val!$D$42*Val!$D$22/(Val!$D$11*((1-COS(Calc!D34))+1/Val!$D$18*(1-(1-(Val!$D$18*SIN(Calc!D34))^2)^0.5))/Val!$D$25+Val!$D$14/Val!$D$25+Val!$D$13/Val!$D$27+Val!$D$12*((1-COS(Calc!E34))+1/Val!$D$19*(1-(1-(Val!$D$19*SIN(Calc!E34))^2)^0.5))/Val!$D$26+Val!$D$15/Val!$D$26)</f>
        <v>130914.72926011827</v>
      </c>
      <c r="N34" s="16">
        <f t="shared" si="8"/>
        <v>-0.46457378593741344</v>
      </c>
      <c r="O34" s="16">
        <f t="shared" si="9"/>
        <v>-0.4351727939784892</v>
      </c>
      <c r="P34" s="16">
        <f t="shared" si="10"/>
        <v>3.2980377708059E-06</v>
      </c>
      <c r="Q34" s="16">
        <f t="shared" si="11"/>
        <v>3.308203388997582E-06</v>
      </c>
      <c r="R34" s="13">
        <f t="shared" si="0"/>
        <v>0.4144769597345901</v>
      </c>
      <c r="S34" s="13">
        <f t="shared" si="1"/>
        <v>0.43666044290714634</v>
      </c>
      <c r="T34" s="13">
        <f t="shared" si="2"/>
        <v>0.8272438313914106</v>
      </c>
      <c r="U34" s="13">
        <f t="shared" si="3"/>
        <v>0.7724483550748793</v>
      </c>
      <c r="W34" s="387">
        <f>1*(M34-Val!$D$28)*PI()/4*Val!$D$2^2*(SIN(D34)+Val!$D$18/2*SIN(2*D34)/(1-Val!$D$18^2*SIN(D34)^2)^0.5)*Val!$D$4*(D34-D33)+1*(M34-Val!$D$28)*PI()/4*Val!$D$3^2*(SIN(E34)+Val!$D$19/2*SIN(2*E34)/(1-Val!$D$19^2*SIN(E34)^2)^0.5)*Val!$D$5*(E34-E33)</f>
        <v>-0.10104795918643877</v>
      </c>
    </row>
    <row r="35" spans="2:23" ht="13.5">
      <c r="B35" s="32">
        <v>30</v>
      </c>
      <c r="C35" s="32">
        <f>B35-Data!$D$10</f>
        <v>-60</v>
      </c>
      <c r="D35" s="30">
        <f t="shared" si="12"/>
        <v>0.5235987755982988</v>
      </c>
      <c r="E35" s="30">
        <f t="shared" si="13"/>
        <v>-1.0471975511965976</v>
      </c>
      <c r="F35" s="26">
        <f>Val!$D$11*(1-COS(D35))+Val!$D$12*(1-COS(E35))</f>
        <v>0.00031698725691845495</v>
      </c>
      <c r="G35" s="26">
        <f>Val!$D$11*((1-COS(Calc!D35))+1/Val!$D$18*(1-(1-(Val!$D$18*SIN(Calc!D35))^2)^0.5))+Val!$D$12*((1-COS(Calc!E35))+1/Val!$D$19*(1-(1-(Val!$D$19*SIN(Calc!E35))^2)^0.5))</f>
        <v>0.00037158442503586837</v>
      </c>
      <c r="H35" s="26">
        <f t="shared" si="14"/>
        <v>-5.4597168117413416E-05</v>
      </c>
      <c r="I35" s="22">
        <f>Val!$D$11*(1-COS(D35))+Val!$D$14+Val!$D$13+Val!$D$12*((1-COS(Calc!E35)))+Val!$D$15</f>
        <v>0.0010169872569184548</v>
      </c>
      <c r="J35" s="22">
        <f>Val!$D$11*((1-COS(Calc!$D35))+1/Val!$D$18*(1-(1-(Val!$D$18*SIN(Calc!$D35))^2)^0.5))+Val!$D$14+Val!$D$13+Val!$D$12*((1-COS(Calc!$E35))+1/Val!$D$19*(1-(1-(Val!$D$19*SIN(Calc!$E35))^2)^0.5))+Val!$D$15</f>
        <v>0.0010715844250358683</v>
      </c>
      <c r="K35" s="44">
        <f t="shared" si="15"/>
        <v>-5.4597168117413416E-05</v>
      </c>
      <c r="L35" s="50">
        <f>Val!$D$42*Val!$D$22/Val!$D$37/(1-Val!$D$39*COS(D35-Val!$D$40))</f>
        <v>141525.91007090162</v>
      </c>
      <c r="M35" s="50">
        <f>Val!$D$42*Val!$D$22/(Val!$D$11*((1-COS(Calc!D35))+1/Val!$D$18*(1-(1-(Val!$D$18*SIN(Calc!D35))^2)^0.5))/Val!$D$25+Val!$D$14/Val!$D$25+Val!$D$13/Val!$D$27+Val!$D$12*((1-COS(Calc!E35))+1/Val!$D$19*(1-(1-(Val!$D$19*SIN(Calc!E35))^2)^0.5))/Val!$D$26+Val!$D$15/Val!$D$26)</f>
        <v>132172.3562714212</v>
      </c>
      <c r="N35" s="16">
        <f t="shared" si="8"/>
        <v>-0.43935623030283194</v>
      </c>
      <c r="O35" s="16">
        <f t="shared" si="9"/>
        <v>-0.4116545427874606</v>
      </c>
      <c r="P35" s="16">
        <f t="shared" si="10"/>
        <v>3.0899855123510986E-06</v>
      </c>
      <c r="Q35" s="16">
        <f t="shared" si="11"/>
        <v>3.099749216332751E-06</v>
      </c>
      <c r="R35" s="13">
        <f t="shared" si="0"/>
        <v>0.413137176954765</v>
      </c>
      <c r="S35" s="13">
        <f t="shared" si="1"/>
        <v>0.4353165304838343</v>
      </c>
      <c r="T35" s="13">
        <f t="shared" si="2"/>
        <v>0.8350584922917977</v>
      </c>
      <c r="U35" s="13">
        <f t="shared" si="3"/>
        <v>0.7798688487173362</v>
      </c>
      <c r="W35" s="387">
        <f>1*(M35-Val!$D$28)*PI()/4*Val!$D$2^2*(SIN(D35)+Val!$D$18/2*SIN(2*D35)/(1-Val!$D$18^2*SIN(D35)^2)^0.5)*Val!$D$4*(D35-D34)+1*(M35-Val!$D$28)*PI()/4*Val!$D$3^2*(SIN(E35)+Val!$D$19/2*SIN(2*E35)/(1-Val!$D$19^2*SIN(E35)^2)^0.5)*Val!$D$5*(E35-E34)</f>
        <v>-0.09891955426526161</v>
      </c>
    </row>
    <row r="36" spans="2:23" ht="13.5">
      <c r="B36" s="32">
        <v>31</v>
      </c>
      <c r="C36" s="32">
        <f>B36-Data!$D$10</f>
        <v>-59</v>
      </c>
      <c r="D36" s="30">
        <f t="shared" si="12"/>
        <v>0.5410520681182421</v>
      </c>
      <c r="E36" s="30">
        <f t="shared" si="13"/>
        <v>-1.0297442586766545</v>
      </c>
      <c r="F36" s="26">
        <f>Val!$D$11*(1-COS(D36))+Val!$D$12*(1-COS(E36))</f>
        <v>0.00031389727140610386</v>
      </c>
      <c r="G36" s="26">
        <f>Val!$D$11*((1-COS(Calc!D36))+1/Val!$D$18*(1-(1-(Val!$D$18*SIN(Calc!D36))^2)^0.5))+Val!$D$12*((1-COS(Calc!E36))+1/Val!$D$19*(1-(1-(Val!$D$19*SIN(Calc!E36))^2)^0.5))</f>
        <v>0.0003684846758195356</v>
      </c>
      <c r="H36" s="26">
        <f t="shared" si="14"/>
        <v>-5.458740441343176E-05</v>
      </c>
      <c r="I36" s="22">
        <f>Val!$D$11*(1-COS(D36))+Val!$D$14+Val!$D$13+Val!$D$12*((1-COS(Calc!E36)))+Val!$D$15</f>
        <v>0.001013897271406104</v>
      </c>
      <c r="J36" s="22">
        <f>Val!$D$11*((1-COS(Calc!$D36))+1/Val!$D$18*(1-(1-(Val!$D$18*SIN(Calc!$D36))^2)^0.5))+Val!$D$14+Val!$D$13+Val!$D$12*((1-COS(Calc!$E36))+1/Val!$D$19*(1-(1-(Val!$D$19*SIN(Calc!$E36))^2)^0.5))+Val!$D$15</f>
        <v>0.0010684846758195355</v>
      </c>
      <c r="K36" s="44">
        <f t="shared" si="15"/>
        <v>-5.45874044134316E-05</v>
      </c>
      <c r="L36" s="50">
        <f>Val!$D$42*Val!$D$22/Val!$D$37/(1-Val!$D$39*COS(D36-Val!$D$40))</f>
        <v>142848.38783223584</v>
      </c>
      <c r="M36" s="50">
        <f>Val!$D$42*Val!$D$22/(Val!$D$11*((1-COS(Calc!D36))+1/Val!$D$18*(1-(1-(Val!$D$18*SIN(Calc!D36))^2)^0.5))/Val!$D$25+Val!$D$14/Val!$D$25+Val!$D$13/Val!$D$27+Val!$D$12*((1-COS(Calc!E36))+1/Val!$D$19*(1-(1-(Val!$D$19*SIN(Calc!E36))^2)^0.5))/Val!$D$26+Val!$D$15/Val!$D$26)</f>
        <v>133432.70662749332</v>
      </c>
      <c r="N36" s="16">
        <f t="shared" si="8"/>
        <v>-0.4134455007276844</v>
      </c>
      <c r="O36" s="16">
        <f t="shared" si="9"/>
        <v>-0.38748521611079045</v>
      </c>
      <c r="P36" s="16">
        <f t="shared" si="10"/>
        <v>2.8809920143761073E-06</v>
      </c>
      <c r="Q36" s="16">
        <f t="shared" si="11"/>
        <v>2.8903062500178255E-06</v>
      </c>
      <c r="R36" s="13">
        <f t="shared" si="0"/>
        <v>0.4118819125621</v>
      </c>
      <c r="S36" s="13">
        <f t="shared" si="1"/>
        <v>0.4340572997198385</v>
      </c>
      <c r="T36" s="13">
        <f t="shared" si="2"/>
        <v>0.8428616308472462</v>
      </c>
      <c r="U36" s="13">
        <f t="shared" si="3"/>
        <v>0.7873054111642674</v>
      </c>
      <c r="W36" s="387">
        <f>1*(M36-Val!$D$28)*PI()/4*Val!$D$2^2*(SIN(D36)+Val!$D$18/2*SIN(2*D36)/(1-Val!$D$18^2*SIN(D36)^2)^0.5)*Val!$D$4*(D36-D35)+1*(M36-Val!$D$28)*PI()/4*Val!$D$3^2*(SIN(E36)+Val!$D$19/2*SIN(2*E36)/(1-Val!$D$19^2*SIN(E36)^2)^0.5)*Val!$D$5*(E36-E35)</f>
        <v>-0.0962434671329136</v>
      </c>
    </row>
    <row r="37" spans="2:23" ht="13.5">
      <c r="B37" s="32">
        <v>32</v>
      </c>
      <c r="C37" s="32">
        <f>B37-Data!$D$10</f>
        <v>-58</v>
      </c>
      <c r="D37" s="30">
        <f t="shared" si="12"/>
        <v>0.5585053606381855</v>
      </c>
      <c r="E37" s="30">
        <f t="shared" si="13"/>
        <v>-1.0122909661567112</v>
      </c>
      <c r="F37" s="26">
        <f>Val!$D$11*(1-COS(D37))+Val!$D$12*(1-COS(E37))</f>
        <v>0.00031101627939172775</v>
      </c>
      <c r="G37" s="26">
        <f>Val!$D$11*((1-COS(Calc!D37))+1/Val!$D$18*(1-(1-(Val!$D$18*SIN(Calc!D37))^2)^0.5))+Val!$D$12*((1-COS(Calc!E37))+1/Val!$D$19*(1-(1-(Val!$D$19*SIN(Calc!E37))^2)^0.5))</f>
        <v>0.0003655943695695178</v>
      </c>
      <c r="H37" s="26">
        <f t="shared" si="14"/>
        <v>-5.4578090177790045E-05</v>
      </c>
      <c r="I37" s="22">
        <f>Val!$D$11*(1-COS(D37))+Val!$D$14+Val!$D$13+Val!$D$12*((1-COS(Calc!E37)))+Val!$D$15</f>
        <v>0.0010110162793917276</v>
      </c>
      <c r="J37" s="22">
        <f>Val!$D$11*((1-COS(Calc!$D37))+1/Val!$D$18*(1-(1-(Val!$D$18*SIN(Calc!$D37))^2)^0.5))+Val!$D$14+Val!$D$13+Val!$D$12*((1-COS(Calc!$E37))+1/Val!$D$19*(1-(1-(Val!$D$19*SIN(Calc!$E37))^2)^0.5))+Val!$D$15</f>
        <v>0.0010655943695695178</v>
      </c>
      <c r="K37" s="44">
        <f t="shared" si="15"/>
        <v>-5.457809017779015E-05</v>
      </c>
      <c r="L37" s="50">
        <f>Val!$D$42*Val!$D$22/Val!$D$37/(1-Val!$D$39*COS(D37-Val!$D$40))</f>
        <v>144167.68070566648</v>
      </c>
      <c r="M37" s="50">
        <f>Val!$D$42*Val!$D$22/(Val!$D$11*((1-COS(Calc!D37))+1/Val!$D$18*(1-(1-(Val!$D$18*SIN(Calc!D37))^2)^0.5))/Val!$D$25+Val!$D$14/Val!$D$25+Val!$D$13/Val!$D$27+Val!$D$12*((1-COS(Calc!E37))+1/Val!$D$19*(1-(1-(Val!$D$19*SIN(Calc!E37))^2)^0.5))/Val!$D$26+Val!$D$15/Val!$D$26)</f>
        <v>134694.73911180522</v>
      </c>
      <c r="N37" s="16">
        <f t="shared" si="8"/>
        <v>-0.38684534108589685</v>
      </c>
      <c r="O37" s="16">
        <f t="shared" si="9"/>
        <v>-0.36266573577869743</v>
      </c>
      <c r="P37" s="16">
        <f t="shared" si="10"/>
        <v>2.6711209383246644E-06</v>
      </c>
      <c r="Q37" s="16">
        <f t="shared" si="11"/>
        <v>2.679940342053904E-06</v>
      </c>
      <c r="R37" s="13">
        <f t="shared" si="0"/>
        <v>0.41071154892228884</v>
      </c>
      <c r="S37" s="13">
        <f t="shared" si="1"/>
        <v>0.4328831522990682</v>
      </c>
      <c r="T37" s="13">
        <f t="shared" si="2"/>
        <v>0.8506459773123308</v>
      </c>
      <c r="U37" s="13">
        <f t="shared" si="3"/>
        <v>0.7947518988289275</v>
      </c>
      <c r="W37" s="387">
        <f>1*(M37-Val!$D$28)*PI()/4*Val!$D$2^2*(SIN(D37)+Val!$D$18/2*SIN(2*D37)/(1-Val!$D$18^2*SIN(D37)^2)^0.5)*Val!$D$4*(D37-D36)+1*(M37-Val!$D$28)*PI()/4*Val!$D$3^2*(SIN(E37)+Val!$D$19/2*SIN(2*E37)/(1-Val!$D$19^2*SIN(E37)^2)^0.5)*Val!$D$5*(E37-E36)</f>
        <v>-0.09301341867337404</v>
      </c>
    </row>
    <row r="38" spans="2:23" ht="13.5">
      <c r="B38" s="32">
        <v>33</v>
      </c>
      <c r="C38" s="32">
        <f>B38-Data!$D$10</f>
        <v>-57</v>
      </c>
      <c r="D38" s="30">
        <f t="shared" si="12"/>
        <v>0.5759586531581288</v>
      </c>
      <c r="E38" s="30">
        <f t="shared" si="13"/>
        <v>-0.9948376736367679</v>
      </c>
      <c r="F38" s="26">
        <f>Val!$D$11*(1-COS(D38))+Val!$D$12*(1-COS(E38))</f>
        <v>0.0003083451584534031</v>
      </c>
      <c r="G38" s="26">
        <f>Val!$D$11*((1-COS(Calc!D38))+1/Val!$D$18*(1-(1-(Val!$D$18*SIN(Calc!D38))^2)^0.5))+Val!$D$12*((1-COS(Calc!E38))+1/Val!$D$19*(1-(1-(Val!$D$19*SIN(Calc!E38))^2)^0.5))</f>
        <v>0.0003629144292274639</v>
      </c>
      <c r="H38" s="26">
        <f t="shared" si="14"/>
        <v>-5.4569270774060805E-05</v>
      </c>
      <c r="I38" s="22">
        <f>Val!$D$11*(1-COS(D38))+Val!$D$14+Val!$D$13+Val!$D$12*((1-COS(Calc!E38)))+Val!$D$15</f>
        <v>0.001008345158453403</v>
      </c>
      <c r="J38" s="22">
        <f>Val!$D$11*((1-COS(Calc!$D38))+1/Val!$D$18*(1-(1-(Val!$D$18*SIN(Calc!$D38))^2)^0.5))+Val!$D$14+Val!$D$13+Val!$D$12*((1-COS(Calc!$E38))+1/Val!$D$19*(1-(1-(Val!$D$19*SIN(Calc!$E38))^2)^0.5))+Val!$D$15</f>
        <v>0.0010629144292274638</v>
      </c>
      <c r="K38" s="44">
        <f t="shared" si="15"/>
        <v>-5.45692707740607E-05</v>
      </c>
      <c r="L38" s="50">
        <f>Val!$D$42*Val!$D$22/Val!$D$37/(1-Val!$D$39*COS(D38-Val!$D$40))</f>
        <v>145482.507374955</v>
      </c>
      <c r="M38" s="50">
        <f>Val!$D$42*Val!$D$22/(Val!$D$11*((1-COS(Calc!D38))+1/Val!$D$18*(1-(1-(Val!$D$18*SIN(Calc!D38))^2)^0.5))/Val!$D$25+Val!$D$14/Val!$D$25+Val!$D$13/Val!$D$27+Val!$D$12*((1-COS(Calc!E38))+1/Val!$D$19*(1-(1-(Val!$D$19*SIN(Calc!E38))^2)^0.5))/Val!$D$26+Val!$D$15/Val!$D$26)</f>
        <v>135957.3571962313</v>
      </c>
      <c r="N38" s="16">
        <f t="shared" si="8"/>
        <v>-0.35956082288550467</v>
      </c>
      <c r="O38" s="16">
        <f t="shared" si="9"/>
        <v>-0.3371981768102467</v>
      </c>
      <c r="P38" s="16">
        <f t="shared" si="10"/>
        <v>2.4604362129595526E-06</v>
      </c>
      <c r="Q38" s="16">
        <f t="shared" si="11"/>
        <v>2.4687178324866933E-06</v>
      </c>
      <c r="R38" s="13">
        <f t="shared" si="0"/>
        <v>0.4096264425394341</v>
      </c>
      <c r="S38" s="13">
        <f t="shared" si="1"/>
        <v>0.43179446315395714</v>
      </c>
      <c r="T38" s="13">
        <f t="shared" si="2"/>
        <v>0.8584039714176579</v>
      </c>
      <c r="U38" s="13">
        <f t="shared" si="3"/>
        <v>0.8022018417644154</v>
      </c>
      <c r="W38" s="387">
        <f>1*(M38-Val!$D$28)*PI()/4*Val!$D$2^2*(SIN(D38)+Val!$D$18/2*SIN(2*D38)/(1-Val!$D$18^2*SIN(D38)^2)^0.5)*Val!$D$4*(D38-D37)+1*(M38-Val!$D$28)*PI()/4*Val!$D$3^2*(SIN(E38)+Val!$D$19/2*SIN(2*E38)/(1-Val!$D$19^2*SIN(E38)^2)^0.5)*Val!$D$5*(E38-E37)</f>
        <v>-0.08922419823523497</v>
      </c>
    </row>
    <row r="39" spans="2:23" ht="13.5">
      <c r="B39" s="32">
        <v>34</v>
      </c>
      <c r="C39" s="32">
        <f>B39-Data!$D$10</f>
        <v>-56</v>
      </c>
      <c r="D39" s="30">
        <f t="shared" si="12"/>
        <v>0.5934119456780721</v>
      </c>
      <c r="E39" s="30">
        <f t="shared" si="13"/>
        <v>-0.9773843811168246</v>
      </c>
      <c r="F39" s="26">
        <f>Val!$D$11*(1-COS(D39))+Val!$D$12*(1-COS(E39))</f>
        <v>0.00030588472224044353</v>
      </c>
      <c r="G39" s="26">
        <f>Val!$D$11*((1-COS(Calc!D39))+1/Val!$D$18*(1-(1-(Val!$D$18*SIN(Calc!D39))^2)^0.5))+Val!$D$12*((1-COS(Calc!E39))+1/Val!$D$19*(1-(1-(Val!$D$19*SIN(Calc!E39))^2)^0.5))</f>
        <v>0.0003604457113949772</v>
      </c>
      <c r="H39" s="26">
        <f t="shared" si="14"/>
        <v>-5.4560989154533665E-05</v>
      </c>
      <c r="I39" s="22">
        <f>Val!$D$11*(1-COS(D39))+Val!$D$14+Val!$D$13+Val!$D$12*((1-COS(Calc!E39)))+Val!$D$15</f>
        <v>0.0010058847222404435</v>
      </c>
      <c r="J39" s="22">
        <f>Val!$D$11*((1-COS(Calc!$D39))+1/Val!$D$18*(1-(1-(Val!$D$18*SIN(Calc!$D39))^2)^0.5))+Val!$D$14+Val!$D$13+Val!$D$12*((1-COS(Calc!$E39))+1/Val!$D$19*(1-(1-(Val!$D$19*SIN(Calc!$E39))^2)^0.5))+Val!$D$15</f>
        <v>0.0010604457113949771</v>
      </c>
      <c r="K39" s="44">
        <f t="shared" si="15"/>
        <v>-5.456098915453361E-05</v>
      </c>
      <c r="L39" s="50">
        <f>Val!$D$42*Val!$D$22/Val!$D$37/(1-Val!$D$39*COS(D39-Val!$D$40))</f>
        <v>146791.5381716308</v>
      </c>
      <c r="M39" s="50">
        <f>Val!$D$42*Val!$D$22/(Val!$D$11*((1-COS(Calc!D39))+1/Val!$D$18*(1-(1-(Val!$D$18*SIN(Calc!D39))^2)^0.5))/Val!$D$25+Val!$D$14/Val!$D$25+Val!$D$13/Val!$D$27+Val!$D$12*((1-COS(Calc!E39))+1/Val!$D$19*(1-(1-(Val!$D$19*SIN(Calc!E39))^2)^0.5))/Val!$D$26+Val!$D$15/Val!$D$26)</f>
        <v>137219.40879374873</v>
      </c>
      <c r="N39" s="16">
        <f t="shared" si="8"/>
        <v>-0.3315984058179814</v>
      </c>
      <c r="O39" s="16">
        <f t="shared" si="9"/>
        <v>-0.31108583456455463</v>
      </c>
      <c r="P39" s="16">
        <f t="shared" si="10"/>
        <v>2.2490020148894065E-06</v>
      </c>
      <c r="Q39" s="16">
        <f t="shared" si="11"/>
        <v>2.2567055181759582E-06</v>
      </c>
      <c r="R39" s="13">
        <f t="shared" si="0"/>
        <v>0.4086269239474515</v>
      </c>
      <c r="S39" s="13">
        <f t="shared" si="1"/>
        <v>0.43079158026720216</v>
      </c>
      <c r="T39" s="13">
        <f t="shared" si="2"/>
        <v>0.8661277675966614</v>
      </c>
      <c r="U39" s="13">
        <f t="shared" si="3"/>
        <v>0.8096484422045</v>
      </c>
      <c r="W39" s="387">
        <f>1*(M39-Val!$D$28)*PI()/4*Val!$D$2^2*(SIN(D39)+Val!$D$18/2*SIN(2*D39)/(1-Val!$D$18^2*SIN(D39)^2)^0.5)*Val!$D$4*(D39-D38)+1*(M39-Val!$D$28)*PI()/4*Val!$D$3^2*(SIN(E39)+Val!$D$19/2*SIN(2*E39)/(1-Val!$D$19^2*SIN(E39)^2)^0.5)*Val!$D$5*(E39-E38)</f>
        <v>-0.08487173402383391</v>
      </c>
    </row>
    <row r="40" spans="2:23" ht="13.5">
      <c r="B40" s="32">
        <v>35</v>
      </c>
      <c r="C40" s="32">
        <f>B40-Data!$D$10</f>
        <v>-55</v>
      </c>
      <c r="D40" s="30">
        <f t="shared" si="12"/>
        <v>0.6108652381980153</v>
      </c>
      <c r="E40" s="30">
        <f t="shared" si="13"/>
        <v>-0.9599310885968813</v>
      </c>
      <c r="F40" s="26">
        <f>Val!$D$11*(1-COS(D40))+Val!$D$12*(1-COS(E40))</f>
        <v>0.0003036357202255541</v>
      </c>
      <c r="G40" s="26">
        <f>Val!$D$11*((1-COS(Calc!D40))+1/Val!$D$18*(1-(1-(Val!$D$18*SIN(Calc!D40))^2)^0.5))+Val!$D$12*((1-COS(Calc!E40))+1/Val!$D$19*(1-(1-(Val!$D$19*SIN(Calc!E40))^2)^0.5))</f>
        <v>0.00035818900587680124</v>
      </c>
      <c r="H40" s="26">
        <f t="shared" si="14"/>
        <v>-5.455328565124711E-05</v>
      </c>
      <c r="I40" s="22">
        <f>Val!$D$11*(1-COS(D40))+Val!$D$14+Val!$D$13+Val!$D$12*((1-COS(Calc!E40)))+Val!$D$15</f>
        <v>0.0010036357202255542</v>
      </c>
      <c r="J40" s="22">
        <f>Val!$D$11*((1-COS(Calc!$D40))+1/Val!$D$18*(1-(1-(Val!$D$18*SIN(Calc!$D40))^2)^0.5))+Val!$D$14+Val!$D$13+Val!$D$12*((1-COS(Calc!$E40))+1/Val!$D$19*(1-(1-(Val!$D$19*SIN(Calc!$E40))^2)^0.5))+Val!$D$15</f>
        <v>0.0010581890058768012</v>
      </c>
      <c r="K40" s="44">
        <f t="shared" si="15"/>
        <v>-5.455328565124695E-05</v>
      </c>
      <c r="L40" s="50">
        <f>Val!$D$42*Val!$D$22/Val!$D$37/(1-Val!$D$39*COS(D40-Val!$D$40))</f>
        <v>148093.39623275533</v>
      </c>
      <c r="M40" s="50">
        <f>Val!$D$42*Val!$D$22/(Val!$D$11*((1-COS(Calc!D40))+1/Val!$D$18*(1-(1-(Val!$D$18*SIN(Calc!D40))^2)^0.5))/Val!$D$25+Val!$D$14/Val!$D$25+Val!$D$13/Val!$D$27+Val!$D$12*((1-COS(Calc!E40))+1/Val!$D$19*(1-(1-(Val!$D$19*SIN(Calc!E40))^2)^0.5))/Val!$D$26+Val!$D$15/Val!$D$26)</f>
        <v>138479.6862445777</v>
      </c>
      <c r="N40" s="16">
        <f t="shared" si="8"/>
        <v>-0.3029659962843076</v>
      </c>
      <c r="O40" s="16">
        <f t="shared" si="9"/>
        <v>-0.28433329134703106</v>
      </c>
      <c r="P40" s="16">
        <f t="shared" si="10"/>
        <v>2.0368827490187583E-06</v>
      </c>
      <c r="Q40" s="16">
        <f t="shared" si="11"/>
        <v>2.0439706204763205E-06</v>
      </c>
      <c r="R40" s="13">
        <f t="shared" si="0"/>
        <v>0.4077132976093867</v>
      </c>
      <c r="S40" s="13">
        <f t="shared" si="1"/>
        <v>0.4298748244861883</v>
      </c>
      <c r="T40" s="13">
        <f t="shared" si="2"/>
        <v>0.8738092418168657</v>
      </c>
      <c r="U40" s="13">
        <f t="shared" si="3"/>
        <v>0.8170845744818431</v>
      </c>
      <c r="W40" s="387">
        <f>1*(M40-Val!$D$28)*PI()/4*Val!$D$2^2*(SIN(D40)+Val!$D$18/2*SIN(2*D40)/(1-Val!$D$18^2*SIN(D40)^2)^0.5)*Val!$D$4*(D40-D39)+1*(M40-Val!$D$28)*PI()/4*Val!$D$3^2*(SIN(E40)+Val!$D$19/2*SIN(2*E40)/(1-Val!$D$19^2*SIN(E40)^2)^0.5)*Val!$D$5*(E40-E39)</f>
        <v>-0.07995316328736923</v>
      </c>
    </row>
    <row r="41" spans="2:23" ht="13.5">
      <c r="B41" s="32">
        <v>36</v>
      </c>
      <c r="C41" s="32">
        <f>B41-Data!$D$10</f>
        <v>-54</v>
      </c>
      <c r="D41" s="30">
        <f t="shared" si="12"/>
        <v>0.6283185307179586</v>
      </c>
      <c r="E41" s="30">
        <f t="shared" si="13"/>
        <v>-0.9424777960769379</v>
      </c>
      <c r="F41" s="26">
        <f>Val!$D$11*(1-COS(D41))+Val!$D$12*(1-COS(E41))</f>
        <v>0.00030159883747653537</v>
      </c>
      <c r="G41" s="26">
        <f>Val!$D$11*((1-COS(Calc!D41))+1/Val!$D$18*(1-(1-(Val!$D$18*SIN(Calc!D41))^2)^0.5))+Val!$D$12*((1-COS(Calc!E41))+1/Val!$D$19*(1-(1-(Val!$D$19*SIN(Calc!E41))^2)^0.5))</f>
        <v>0.0003561450352563249</v>
      </c>
      <c r="H41" s="26">
        <f t="shared" si="14"/>
        <v>-5.454619777978955E-05</v>
      </c>
      <c r="I41" s="22">
        <f>Val!$D$11*(1-COS(D41))+Val!$D$14+Val!$D$13+Val!$D$12*((1-COS(Calc!E41)))+Val!$D$15</f>
        <v>0.0010015988374765354</v>
      </c>
      <c r="J41" s="22">
        <f>Val!$D$11*((1-COS(Calc!$D41))+1/Val!$D$18*(1-(1-(Val!$D$18*SIN(Calc!$D41))^2)^0.5))+Val!$D$14+Val!$D$13+Val!$D$12*((1-COS(Calc!$E41))+1/Val!$D$19*(1-(1-(Val!$D$19*SIN(Calc!$E41))^2)^0.5))+Val!$D$15</f>
        <v>0.0010561450352563249</v>
      </c>
      <c r="K41" s="44">
        <f t="shared" si="15"/>
        <v>-5.454619777978944E-05</v>
      </c>
      <c r="L41" s="50">
        <f>Val!$D$42*Val!$D$22/Val!$D$37/(1-Val!$D$39*COS(D41-Val!$D$40))</f>
        <v>149386.6589449415</v>
      </c>
      <c r="M41" s="50">
        <f>Val!$D$42*Val!$D$22/(Val!$D$11*((1-COS(Calc!D41))+1/Val!$D$18*(1-(1-(Val!$D$18*SIN(Calc!D41))^2)^0.5))/Val!$D$25+Val!$D$14/Val!$D$25+Val!$D$13/Val!$D$27+Val!$D$12*((1-COS(Calc!E41))+1/Val!$D$19*(1-(1-(Val!$D$19*SIN(Calc!E41))^2)^0.5))/Val!$D$26+Val!$D$15/Val!$D$26)</f>
        <v>139736.92655660916</v>
      </c>
      <c r="N41" s="16">
        <f t="shared" si="8"/>
        <v>-0.2736730033747052</v>
      </c>
      <c r="O41" s="16">
        <f t="shared" si="9"/>
        <v>-0.25694648200011644</v>
      </c>
      <c r="P41" s="16">
        <f t="shared" si="10"/>
        <v>1.824143028931189E-06</v>
      </c>
      <c r="Q41" s="16">
        <f t="shared" si="11"/>
        <v>1.8305807518988562E-06</v>
      </c>
      <c r="R41" s="13">
        <f t="shared" si="0"/>
        <v>0.4068858418246728</v>
      </c>
      <c r="S41" s="13">
        <f t="shared" si="1"/>
        <v>0.42904448935054385</v>
      </c>
      <c r="T41" s="13">
        <f t="shared" si="2"/>
        <v>0.8814400001001677</v>
      </c>
      <c r="U41" s="13">
        <f t="shared" si="3"/>
        <v>0.824502786446617</v>
      </c>
      <c r="W41" s="387">
        <f>1*(M41-Val!$D$28)*PI()/4*Val!$D$2^2*(SIN(D41)+Val!$D$18/2*SIN(2*D41)/(1-Val!$D$18^2*SIN(D41)^2)^0.5)*Val!$D$4*(D41-D40)+1*(M41-Val!$D$28)*PI()/4*Val!$D$3^2*(SIN(E41)+Val!$D$19/2*SIN(2*E41)/(1-Val!$D$19^2*SIN(E41)^2)^0.5)*Val!$D$5*(E41-E40)</f>
        <v>-0.07446690183824844</v>
      </c>
    </row>
    <row r="42" spans="2:23" ht="13.5">
      <c r="B42" s="32">
        <v>37</v>
      </c>
      <c r="C42" s="32">
        <f>B42-Data!$D$10</f>
        <v>-53</v>
      </c>
      <c r="D42" s="30">
        <f t="shared" si="12"/>
        <v>0.6457718232379019</v>
      </c>
      <c r="E42" s="30">
        <f t="shared" si="13"/>
        <v>-0.9250245035569946</v>
      </c>
      <c r="F42" s="26">
        <f>Val!$D$11*(1-COS(D42))+Val!$D$12*(1-COS(E42))</f>
        <v>0.0002997746944476042</v>
      </c>
      <c r="G42" s="26">
        <f>Val!$D$11*((1-COS(Calc!D42))+1/Val!$D$18*(1-(1-(Val!$D$18*SIN(Calc!D42))^2)^0.5))+Val!$D$12*((1-COS(Calc!E42))+1/Val!$D$19*(1-(1-(Val!$D$19*SIN(Calc!E42))^2)^0.5))</f>
        <v>0.00035431445450442606</v>
      </c>
      <c r="H42" s="26">
        <f t="shared" si="14"/>
        <v>-5.4539760056821884E-05</v>
      </c>
      <c r="I42" s="22">
        <f>Val!$D$11*(1-COS(D42))+Val!$D$14+Val!$D$13+Val!$D$12*((1-COS(Calc!E42)))+Val!$D$15</f>
        <v>0.0009997746944476042</v>
      </c>
      <c r="J42" s="22">
        <f>Val!$D$11*((1-COS(Calc!$D42))+1/Val!$D$18*(1-(1-(Val!$D$18*SIN(Calc!$D42))^2)^0.5))+Val!$D$14+Val!$D$13+Val!$D$12*((1-COS(Calc!$E42))+1/Val!$D$19*(1-(1-(Val!$D$19*SIN(Calc!$E42))^2)^0.5))+Val!$D$15</f>
        <v>0.001054314454504426</v>
      </c>
      <c r="K42" s="44">
        <f t="shared" si="15"/>
        <v>-5.4539760056821884E-05</v>
      </c>
      <c r="L42" s="50">
        <f>Val!$D$42*Val!$D$22/Val!$D$37/(1-Val!$D$39*COS(D42-Val!$D$40))</f>
        <v>150669.85968786431</v>
      </c>
      <c r="M42" s="50">
        <f>Val!$D$42*Val!$D$22/(Val!$D$11*((1-COS(Calc!D42))+1/Val!$D$18*(1-(1-(Val!$D$18*SIN(Calc!D42))^2)^0.5))/Val!$D$25+Val!$D$14/Val!$D$25+Val!$D$13/Val!$D$27+Val!$D$12*((1-COS(Calc!E42))+1/Val!$D$19*(1-(1-(Val!$D$19*SIN(Calc!E42))^2)^0.5))/Val!$D$26+Val!$D$15/Val!$D$26)</f>
        <v>140989.81192088683</v>
      </c>
      <c r="N42" s="16">
        <f t="shared" si="8"/>
        <v>-0.243730391755029</v>
      </c>
      <c r="O42" s="16">
        <f t="shared" si="9"/>
        <v>-0.2289327579676583</v>
      </c>
      <c r="P42" s="16">
        <f t="shared" si="10"/>
        <v>1.610847657205908E-06</v>
      </c>
      <c r="Q42" s="16">
        <f t="shared" si="11"/>
        <v>1.6166038818262373E-06</v>
      </c>
      <c r="R42" s="13">
        <f t="shared" si="0"/>
        <v>0.40614480864435754</v>
      </c>
      <c r="S42" s="13">
        <f t="shared" si="1"/>
        <v>0.4283008409332384</v>
      </c>
      <c r="T42" s="13">
        <f t="shared" si="2"/>
        <v>0.8890113888102351</v>
      </c>
      <c r="U42" s="13">
        <f t="shared" si="3"/>
        <v>0.8318953025080507</v>
      </c>
      <c r="W42" s="387">
        <f>1*(M42-Val!$D$28)*PI()/4*Val!$D$2^2*(SIN(D42)+Val!$D$18/2*SIN(2*D42)/(1-Val!$D$18^2*SIN(D42)^2)^0.5)*Val!$D$4*(D42-D41)+1*(M42-Val!$D$28)*PI()/4*Val!$D$3^2*(SIN(E42)+Val!$D$19/2*SIN(2*E42)/(1-Val!$D$19^2*SIN(E42)^2)^0.5)*Val!$D$5*(E42-E41)</f>
        <v>-0.06841271241137575</v>
      </c>
    </row>
    <row r="43" spans="2:23" ht="13.5">
      <c r="B43" s="32">
        <v>38</v>
      </c>
      <c r="C43" s="32">
        <f>B43-Data!$D$10</f>
        <v>-52</v>
      </c>
      <c r="D43" s="30">
        <f aca="true" t="shared" si="16" ref="D43:D51">PI()/180*B43</f>
        <v>0.6632251157578453</v>
      </c>
      <c r="E43" s="30">
        <f aca="true" t="shared" si="17" ref="E43:E51">PI()/180*C43</f>
        <v>-0.9075712110370514</v>
      </c>
      <c r="F43" s="26">
        <f>Val!$D$11*(1-COS(D43))+Val!$D$12*(1-COS(E43))</f>
        <v>0.00029816384679039827</v>
      </c>
      <c r="G43" s="26">
        <f>Val!$D$11*((1-COS(Calc!D43))+1/Val!$D$18*(1-(1-(Val!$D$18*SIN(Calc!D43))^2)^0.5))+Val!$D$12*((1-COS(Calc!E43))+1/Val!$D$19*(1-(1-(Val!$D$19*SIN(Calc!E43))^2)^0.5))</f>
        <v>0.0003526978506225998</v>
      </c>
      <c r="H43" s="26">
        <f aca="true" t="shared" si="18" ref="H43:H51">F43-G43</f>
        <v>-5.4534003832201554E-05</v>
      </c>
      <c r="I43" s="22">
        <f>Val!$D$11*(1-COS(D43))+Val!$D$14+Val!$D$13+Val!$D$12*((1-COS(Calc!E43)))+Val!$D$15</f>
        <v>0.0009981638467903983</v>
      </c>
      <c r="J43" s="22">
        <f>Val!$D$11*((1-COS(Calc!$D43))+1/Val!$D$18*(1-(1-(Val!$D$18*SIN(Calc!$D43))^2)^0.5))+Val!$D$14+Val!$D$13+Val!$D$12*((1-COS(Calc!$E43))+1/Val!$D$19*(1-(1-(Val!$D$19*SIN(Calc!$E43))^2)^0.5))+Val!$D$15</f>
        <v>0.0010526978506225997</v>
      </c>
      <c r="K43" s="44">
        <f aca="true" t="shared" si="19" ref="K43:K51">I43-J43</f>
        <v>-5.4534003832201446E-05</v>
      </c>
      <c r="L43" s="50">
        <f>Val!$D$42*Val!$D$22/Val!$D$37/(1-Val!$D$39*COS(D43-Val!$D$40))</f>
        <v>151941.489889154</v>
      </c>
      <c r="M43" s="50">
        <f>Val!$D$42*Val!$D$22/(Val!$D$11*((1-COS(Calc!D43))+1/Val!$D$18*(1-(1-(Val!$D$18*SIN(Calc!D43))^2)^0.5))/Val!$D$25+Val!$D$14/Val!$D$25+Val!$D$13/Val!$D$27+Val!$D$12*((1-COS(Calc!E43))+1/Val!$D$19*(1-(1-(Val!$D$19*SIN(Calc!E43))^2)^0.5))/Val!$D$26+Val!$D$15/Val!$D$26)</f>
        <v>142236.97052259377</v>
      </c>
      <c r="N43" s="16">
        <f t="shared" si="8"/>
        <v>-0.21315073089066683</v>
      </c>
      <c r="O43" s="16">
        <f t="shared" si="9"/>
        <v>-0.20030094928527717</v>
      </c>
      <c r="P43" s="16">
        <f t="shared" si="10"/>
        <v>1.3970616056799626E-06</v>
      </c>
      <c r="Q43" s="16">
        <f t="shared" si="11"/>
        <v>1.4021083013565552E-06</v>
      </c>
      <c r="R43" s="13">
        <f t="shared" si="0"/>
        <v>0.4054904237943263</v>
      </c>
      <c r="S43" s="13">
        <f t="shared" si="1"/>
        <v>0.4276441176956085</v>
      </c>
      <c r="T43" s="13">
        <f t="shared" si="2"/>
        <v>0.8965145067771834</v>
      </c>
      <c r="U43" s="13">
        <f t="shared" si="3"/>
        <v>0.8392540284195703</v>
      </c>
      <c r="W43" s="387">
        <f>1*(M43-Val!$D$28)*PI()/4*Val!$D$2^2*(SIN(D43)+Val!$D$18/2*SIN(2*D43)/(1-Val!$D$18^2*SIN(D43)^2)^0.5)*Val!$D$4*(D43-D42)+1*(M43-Val!$D$28)*PI()/4*Val!$D$3^2*(SIN(E43)+Val!$D$19/2*SIN(2*E43)/(1-Val!$D$19^2*SIN(E43)^2)^0.5)*Val!$D$5*(E43-E42)</f>
        <v>-0.06179177132263952</v>
      </c>
    </row>
    <row r="44" spans="2:23" ht="13.5">
      <c r="B44" s="32">
        <v>39</v>
      </c>
      <c r="C44" s="32">
        <f>B44-Data!$D$10</f>
        <v>-51</v>
      </c>
      <c r="D44" s="30">
        <f t="shared" si="16"/>
        <v>0.6806784082777885</v>
      </c>
      <c r="E44" s="30">
        <f t="shared" si="17"/>
        <v>-0.8901179185171081</v>
      </c>
      <c r="F44" s="26">
        <f>Val!$D$11*(1-COS(D44))+Val!$D$12*(1-COS(E44))</f>
        <v>0.0002967667851847183</v>
      </c>
      <c r="G44" s="26">
        <f>Val!$D$11*((1-COS(Calc!D44))+1/Val!$D$18*(1-(1-(Val!$D$18*SIN(Calc!D44))^2)^0.5))+Val!$D$12*((1-COS(Calc!E44))+1/Val!$D$19*(1-(1-(Val!$D$19*SIN(Calc!E44))^2)^0.5))</f>
        <v>0.00035129574232124327</v>
      </c>
      <c r="H44" s="26">
        <f t="shared" si="18"/>
        <v>-5.452895713652496E-05</v>
      </c>
      <c r="I44" s="22">
        <f>Val!$D$11*(1-COS(D44))+Val!$D$14+Val!$D$13+Val!$D$12*((1-COS(Calc!E44)))+Val!$D$15</f>
        <v>0.0009967667851847183</v>
      </c>
      <c r="J44" s="22">
        <f>Val!$D$11*((1-COS(Calc!$D44))+1/Val!$D$18*(1-(1-(Val!$D$18*SIN(Calc!$D44))^2)^0.5))+Val!$D$14+Val!$D$13+Val!$D$12*((1-COS(Calc!$E44))+1/Val!$D$19*(1-(1-(Val!$D$19*SIN(Calc!$E44))^2)^0.5))+Val!$D$15</f>
        <v>0.0010512957423212432</v>
      </c>
      <c r="K44" s="44">
        <f t="shared" si="19"/>
        <v>-5.452895713652485E-05</v>
      </c>
      <c r="L44" s="50">
        <f>Val!$D$42*Val!$D$22/Val!$D$37/(1-Val!$D$39*COS(D44-Val!$D$40))</f>
        <v>153200.0014009519</v>
      </c>
      <c r="M44" s="50">
        <f>Val!$D$42*Val!$D$22/(Val!$D$11*((1-COS(Calc!D44))+1/Val!$D$18*(1-(1-(Val!$D$18*SIN(Calc!D44))^2)^0.5))/Val!$D$25+Val!$D$14/Val!$D$25+Val!$D$13/Val!$D$27+Val!$D$12*((1-COS(Calc!E44))+1/Val!$D$19*(1-(1-(Val!$D$19*SIN(Calc!E44))^2)^0.5))/Val!$D$26+Val!$D$15/Val!$D$26)</f>
        <v>143476.97766740527</v>
      </c>
      <c r="N44" s="16">
        <f t="shared" si="8"/>
        <v>-0.18194824002017224</v>
      </c>
      <c r="O44" s="16">
        <f t="shared" si="9"/>
        <v>-0.17106142391542392</v>
      </c>
      <c r="P44" s="16">
        <f t="shared" si="10"/>
        <v>1.1828499956549328E-06</v>
      </c>
      <c r="Q44" s="16">
        <f t="shared" si="11"/>
        <v>1.1871625873612589E-06</v>
      </c>
      <c r="R44" s="13">
        <f t="shared" si="0"/>
        <v>0.40492288660654346</v>
      </c>
      <c r="S44" s="13">
        <f t="shared" si="1"/>
        <v>0.4270745303566653</v>
      </c>
      <c r="T44" s="13">
        <f t="shared" si="2"/>
        <v>0.9039402193201893</v>
      </c>
      <c r="U44" s="13">
        <f t="shared" si="3"/>
        <v>0.8465705579247231</v>
      </c>
      <c r="W44" s="387">
        <f>1*(M44-Val!$D$28)*PI()/4*Val!$D$2^2*(SIN(D44)+Val!$D$18/2*SIN(2*D44)/(1-Val!$D$18^2*SIN(D44)^2)^0.5)*Val!$D$4*(D44-D43)+1*(M44-Val!$D$28)*PI()/4*Val!$D$3^2*(SIN(E44)+Val!$D$19/2*SIN(2*E44)/(1-Val!$D$19^2*SIN(E44)^2)^0.5)*Val!$D$5*(E44-E43)</f>
        <v>-0.05460673285428852</v>
      </c>
    </row>
    <row r="45" spans="2:23" ht="13.5">
      <c r="B45" s="32">
        <v>40</v>
      </c>
      <c r="C45" s="32">
        <f>B45-Data!$D$10</f>
        <v>-50</v>
      </c>
      <c r="D45" s="30">
        <f t="shared" si="16"/>
        <v>0.6981317007977318</v>
      </c>
      <c r="E45" s="30">
        <f t="shared" si="17"/>
        <v>-0.8726646259971648</v>
      </c>
      <c r="F45" s="26">
        <f>Val!$D$11*(1-COS(D45))+Val!$D$12*(1-COS(E45))</f>
        <v>0.0002955839351890634</v>
      </c>
      <c r="G45" s="26">
        <f>Val!$D$11*((1-COS(Calc!D45))+1/Val!$D$18*(1-(1-(Val!$D$18*SIN(Calc!D45))^2)^0.5))+Val!$D$12*((1-COS(Calc!E45))+1/Val!$D$19*(1-(1-(Val!$D$19*SIN(Calc!E45))^2)^0.5))</f>
        <v>0.000350108579733882</v>
      </c>
      <c r="H45" s="26">
        <f t="shared" si="18"/>
        <v>-5.4524644544818636E-05</v>
      </c>
      <c r="I45" s="22">
        <f>Val!$D$11*(1-COS(D45))+Val!$D$14+Val!$D$13+Val!$D$12*((1-COS(Calc!E45)))+Val!$D$15</f>
        <v>0.0009955839351890633</v>
      </c>
      <c r="J45" s="22">
        <f>Val!$D$11*((1-COS(Calc!$D45))+1/Val!$D$18*(1-(1-(Val!$D$18*SIN(Calc!$D45))^2)^0.5))+Val!$D$14+Val!$D$13+Val!$D$12*((1-COS(Calc!$E45))+1/Val!$D$19*(1-(1-(Val!$D$19*SIN(Calc!$E45))^2)^0.5))+Val!$D$15</f>
        <v>0.001050108579733882</v>
      </c>
      <c r="K45" s="44">
        <f t="shared" si="19"/>
        <v>-5.452464454481858E-05</v>
      </c>
      <c r="L45" s="50">
        <f>Val!$D$42*Val!$D$22/Val!$D$37/(1-Val!$D$39*COS(D45-Val!$D$40))</f>
        <v>154443.8092065307</v>
      </c>
      <c r="M45" s="50">
        <f>Val!$D$42*Val!$D$22/(Val!$D$11*((1-COS(Calc!D45))+1/Val!$D$18*(1-(1-(Val!$D$18*SIN(Calc!D45))^2)^0.5))/Val!$D$25+Val!$D$14/Val!$D$25+Val!$D$13/Val!$D$27+Val!$D$12*((1-COS(Calc!E45))+1/Val!$D$19*(1-(1-(Val!$D$19*SIN(Calc!E45))^2)^0.5))/Val!$D$26+Val!$D$15/Val!$D$26)</f>
        <v>144708.3572421915</v>
      </c>
      <c r="N45" s="16">
        <f t="shared" si="8"/>
        <v>-0.150138828279801</v>
      </c>
      <c r="O45" s="16">
        <f t="shared" si="9"/>
        <v>-0.1412261438106011</v>
      </c>
      <c r="P45" s="16">
        <f t="shared" si="10"/>
        <v>9.682780780628634E-07</v>
      </c>
      <c r="Q45" s="16">
        <f t="shared" si="11"/>
        <v>9.718355658345145E-07</v>
      </c>
      <c r="R45" s="13">
        <f t="shared" si="0"/>
        <v>0.4044423699583343</v>
      </c>
      <c r="S45" s="13">
        <f t="shared" si="1"/>
        <v>0.426592261777003</v>
      </c>
      <c r="T45" s="13">
        <f t="shared" si="2"/>
        <v>0.9112791742176145</v>
      </c>
      <c r="U45" s="13">
        <f t="shared" si="3"/>
        <v>0.8538361813758972</v>
      </c>
      <c r="W45" s="387">
        <f>1*(M45-Val!$D$28)*PI()/4*Val!$D$2^2*(SIN(D45)+Val!$D$18/2*SIN(2*D45)/(1-Val!$D$18^2*SIN(D45)^2)^0.5)*Val!$D$4*(D45-D44)+1*(M45-Val!$D$28)*PI()/4*Val!$D$3^2*(SIN(E45)+Val!$D$19/2*SIN(2*E45)/(1-Val!$D$19^2*SIN(E45)^2)^0.5)*Val!$D$5*(E45-E44)</f>
        <v>-0.04686179075954383</v>
      </c>
    </row>
    <row r="46" spans="2:23" ht="13.5">
      <c r="B46" s="32">
        <v>41</v>
      </c>
      <c r="C46" s="32">
        <f>B46-Data!$D$10</f>
        <v>-49</v>
      </c>
      <c r="D46" s="30">
        <f t="shared" si="16"/>
        <v>0.7155849933176751</v>
      </c>
      <c r="E46" s="30">
        <f t="shared" si="17"/>
        <v>-0.8552113334772214</v>
      </c>
      <c r="F46" s="26">
        <f>Val!$D$11*(1-COS(D46))+Val!$D$12*(1-COS(E46))</f>
        <v>0.0002946156571110005</v>
      </c>
      <c r="G46" s="26">
        <f>Val!$D$11*((1-COS(Calc!D46))+1/Val!$D$18*(1-(1-(Val!$D$18*SIN(Calc!D46))^2)^0.5))+Val!$D$12*((1-COS(Calc!E46))+1/Val!$D$19*(1-(1-(Val!$D$19*SIN(Calc!E46))^2)^0.5))</f>
        <v>0.0003491367441680475</v>
      </c>
      <c r="H46" s="26">
        <f t="shared" si="18"/>
        <v>-5.4521087057046985E-05</v>
      </c>
      <c r="I46" s="22">
        <f>Val!$D$11*(1-COS(D46))+Val!$D$14+Val!$D$13+Val!$D$12*((1-COS(Calc!E46)))+Val!$D$15</f>
        <v>0.0009946156571110005</v>
      </c>
      <c r="J46" s="22">
        <f>Val!$D$11*((1-COS(Calc!$D46))+1/Val!$D$18*(1-(1-(Val!$D$18*SIN(Calc!$D46))^2)^0.5))+Val!$D$14+Val!$D$13+Val!$D$12*((1-COS(Calc!$E46))+1/Val!$D$19*(1-(1-(Val!$D$19*SIN(Calc!$E46))^2)^0.5))+Val!$D$15</f>
        <v>0.0010491367441680475</v>
      </c>
      <c r="K46" s="44">
        <f t="shared" si="19"/>
        <v>-5.4521087057046985E-05</v>
      </c>
      <c r="L46" s="50">
        <f>Val!$D$42*Val!$D$22/Val!$D$37/(1-Val!$D$39*COS(D46-Val!$D$40))</f>
        <v>155671.29446322718</v>
      </c>
      <c r="M46" s="50">
        <f>Val!$D$42*Val!$D$22/(Val!$D$11*((1-COS(Calc!D46))+1/Val!$D$18*(1-(1-(Val!$D$18*SIN(Calc!D46))^2)^0.5))/Val!$D$25+Val!$D$14/Val!$D$25+Val!$D$13/Val!$D$27+Val!$D$12*((1-COS(Calc!E46))+1/Val!$D$19*(1-(1-(Val!$D$19*SIN(Calc!E46))^2)^0.5))/Val!$D$26+Val!$D$15/Val!$D$26)</f>
        <v>145929.58352785237</v>
      </c>
      <c r="N46" s="16">
        <f t="shared" si="8"/>
        <v>-0.11774012937008319</v>
      </c>
      <c r="O46" s="16">
        <f t="shared" si="9"/>
        <v>-0.11080871706326006</v>
      </c>
      <c r="P46" s="16">
        <f t="shared" si="10"/>
        <v>7.534112135883383E-07</v>
      </c>
      <c r="Q46" s="16">
        <f t="shared" si="11"/>
        <v>7.561962746285801E-07</v>
      </c>
      <c r="R46" s="13">
        <f t="shared" si="0"/>
        <v>0.40404902021972483</v>
      </c>
      <c r="S46" s="13">
        <f t="shared" si="1"/>
        <v>0.426197466857596</v>
      </c>
      <c r="T46" s="13">
        <f t="shared" si="2"/>
        <v>0.9185218196615043</v>
      </c>
      <c r="U46" s="13">
        <f t="shared" si="3"/>
        <v>0.8610418964307602</v>
      </c>
      <c r="W46" s="387">
        <f>1*(M46-Val!$D$28)*PI()/4*Val!$D$2^2*(SIN(D46)+Val!$D$18/2*SIN(2*D46)/(1-Val!$D$18^2*SIN(D46)^2)^0.5)*Val!$D$4*(D46-D45)+1*(M46-Val!$D$28)*PI()/4*Val!$D$3^2*(SIN(E46)+Val!$D$19/2*SIN(2*E46)/(1-Val!$D$19^2*SIN(E46)^2)^0.5)*Val!$D$5*(E46-E45)</f>
        <v>-0.03856273624803819</v>
      </c>
    </row>
    <row r="47" spans="2:23" ht="13.5">
      <c r="B47" s="32">
        <v>42</v>
      </c>
      <c r="C47" s="32">
        <f>B47-Data!$D$10</f>
        <v>-48</v>
      </c>
      <c r="D47" s="30">
        <f t="shared" si="16"/>
        <v>0.7330382858376184</v>
      </c>
      <c r="E47" s="30">
        <f t="shared" si="17"/>
        <v>-0.8377580409572782</v>
      </c>
      <c r="F47" s="26">
        <f>Val!$D$11*(1-COS(D47))+Val!$D$12*(1-COS(E47))</f>
        <v>0.0002938622458974122</v>
      </c>
      <c r="G47" s="26">
        <f>Val!$D$11*((1-COS(Calc!D47))+1/Val!$D$18*(1-(1-(Val!$D$18*SIN(Calc!D47))^2)^0.5))+Val!$D$12*((1-COS(Calc!E47))+1/Val!$D$19*(1-(1-(Val!$D$19*SIN(Calc!E47))^2)^0.5))</f>
        <v>0.0003483805478934189</v>
      </c>
      <c r="H47" s="26">
        <f t="shared" si="18"/>
        <v>-5.451830199600674E-05</v>
      </c>
      <c r="I47" s="22">
        <f>Val!$D$11*(1-COS(D47))+Val!$D$14+Val!$D$13+Val!$D$12*((1-COS(Calc!E47)))+Val!$D$15</f>
        <v>0.0009938622458974121</v>
      </c>
      <c r="J47" s="22">
        <f>Val!$D$11*((1-COS(Calc!$D47))+1/Val!$D$18*(1-(1-(Val!$D$18*SIN(Calc!$D47))^2)^0.5))+Val!$D$14+Val!$D$13+Val!$D$12*((1-COS(Calc!$E47))+1/Val!$D$19*(1-(1-(Val!$D$19*SIN(Calc!$E47))^2)^0.5))+Val!$D$15</f>
        <v>0.0010483805478934188</v>
      </c>
      <c r="K47" s="44">
        <f t="shared" si="19"/>
        <v>-5.451830199600669E-05</v>
      </c>
      <c r="L47" s="50">
        <f>Val!$D$42*Val!$D$22/Val!$D$37/(1-Val!$D$39*COS(D47-Val!$D$40))</f>
        <v>156880.8078855111</v>
      </c>
      <c r="M47" s="50">
        <f>Val!$D$42*Val!$D$22/(Val!$D$11*((1-COS(Calc!D47))+1/Val!$D$18*(1-(1-(Val!$D$18*SIN(Calc!D47))^2)^0.5))/Val!$D$25+Val!$D$14/Val!$D$25+Val!$D$13/Val!$D$27+Val!$D$12*((1-COS(Calc!E47))+1/Val!$D$19*(1-(1-(Val!$D$19*SIN(Calc!E47))^2)^0.5))/Val!$D$26+Val!$D$15/Val!$D$26)</f>
        <v>147139.0833805371</v>
      </c>
      <c r="N47" s="16">
        <f t="shared" si="8"/>
        <v>-0.08477153015596456</v>
      </c>
      <c r="O47" s="16">
        <f t="shared" si="9"/>
        <v>-0.07982444547326853</v>
      </c>
      <c r="P47" s="16">
        <f t="shared" si="10"/>
        <v>5.38314852759601E-07</v>
      </c>
      <c r="Q47" s="16">
        <f t="shared" si="11"/>
        <v>5.403139256593848E-07</v>
      </c>
      <c r="R47" s="13">
        <f t="shared" si="0"/>
        <v>0.4037429572088557</v>
      </c>
      <c r="S47" s="13">
        <f t="shared" si="1"/>
        <v>0.4258902724537345</v>
      </c>
      <c r="T47" s="13">
        <f t="shared" si="2"/>
        <v>0.9256584242190239</v>
      </c>
      <c r="U47" s="13">
        <f t="shared" si="3"/>
        <v>0.8681784209223115</v>
      </c>
      <c r="W47" s="387">
        <f>1*(M47-Val!$D$28)*PI()/4*Val!$D$2^2*(SIN(D47)+Val!$D$18/2*SIN(2*D47)/(1-Val!$D$18^2*SIN(D47)^2)^0.5)*Val!$D$4*(D47-D46)+1*(M47-Val!$D$28)*PI()/4*Val!$D$3^2*(SIN(E47)+Val!$D$19/2*SIN(2*E47)/(1-Val!$D$19^2*SIN(E47)^2)^0.5)*Val!$D$5*(E47-E46)</f>
        <v>-0.029717011786592917</v>
      </c>
    </row>
    <row r="48" spans="2:23" ht="13.5">
      <c r="B48" s="32">
        <v>43</v>
      </c>
      <c r="C48" s="32">
        <f>B48-Data!$D$10</f>
        <v>-47</v>
      </c>
      <c r="D48" s="30">
        <f t="shared" si="16"/>
        <v>0.7504915783575618</v>
      </c>
      <c r="E48" s="30">
        <f t="shared" si="17"/>
        <v>-0.8203047484373349</v>
      </c>
      <c r="F48" s="26">
        <f>Val!$D$11*(1-COS(D48))+Val!$D$12*(1-COS(E48))</f>
        <v>0.00029332393104465257</v>
      </c>
      <c r="G48" s="26">
        <f>Val!$D$11*((1-COS(Calc!D48))+1/Val!$D$18*(1-(1-(Val!$D$18*SIN(Calc!D48))^2)^0.5))+Val!$D$12*((1-COS(Calc!E48))+1/Val!$D$19*(1-(1-(Val!$D$19*SIN(Calc!E48))^2)^0.5))</f>
        <v>0.00034784023396775953</v>
      </c>
      <c r="H48" s="26">
        <f t="shared" si="18"/>
        <v>-5.451630292310696E-05</v>
      </c>
      <c r="I48" s="22">
        <f>Val!$D$11*(1-COS(D48))+Val!$D$14+Val!$D$13+Val!$D$12*((1-COS(Calc!E48)))+Val!$D$15</f>
        <v>0.0009933239310446526</v>
      </c>
      <c r="J48" s="22">
        <f>Val!$D$11*((1-COS(Calc!$D48))+1/Val!$D$18*(1-(1-(Val!$D$18*SIN(Calc!$D48))^2)^0.5))+Val!$D$14+Val!$D$13+Val!$D$12*((1-COS(Calc!$E48))+1/Val!$D$19*(1-(1-(Val!$D$19*SIN(Calc!$E48))^2)^0.5))+Val!$D$15</f>
        <v>0.0010478402339677594</v>
      </c>
      <c r="K48" s="44">
        <f t="shared" si="19"/>
        <v>-5.451630292310685E-05</v>
      </c>
      <c r="L48" s="50">
        <f>Val!$D$42*Val!$D$22/Val!$D$37/(1-Val!$D$39*COS(D48-Val!$D$40))</f>
        <v>158070.6734693238</v>
      </c>
      <c r="M48" s="50">
        <f>Val!$D$42*Val!$D$22/(Val!$D$11*((1-COS(Calc!D48))+1/Val!$D$18*(1-(1-(Val!$D$18*SIN(Calc!D48))^2)^0.5))/Val!$D$25+Val!$D$14/Val!$D$25+Val!$D$13/Val!$D$27+Val!$D$12*((1-COS(Calc!E48))+1/Val!$D$19*(1-(1-(Val!$D$19*SIN(Calc!E48))^2)^0.5))/Val!$D$26+Val!$D$15/Val!$D$26)</f>
        <v>148335.23879560476</v>
      </c>
      <c r="N48" s="16">
        <f t="shared" si="8"/>
        <v>-0.05125419259732347</v>
      </c>
      <c r="O48" s="16">
        <f t="shared" si="9"/>
        <v>-0.04829036684913048</v>
      </c>
      <c r="P48" s="16">
        <f t="shared" si="10"/>
        <v>3.230545160120288E-07</v>
      </c>
      <c r="Q48" s="16">
        <f t="shared" si="11"/>
        <v>3.2425786668384936E-07</v>
      </c>
      <c r="R48" s="13">
        <f t="shared" si="0"/>
        <v>0.40352427415548514</v>
      </c>
      <c r="S48" s="13">
        <f t="shared" si="1"/>
        <v>0.4256707773043138</v>
      </c>
      <c r="T48" s="13">
        <f t="shared" si="2"/>
        <v>0.9326790988075198</v>
      </c>
      <c r="U48" s="13">
        <f t="shared" si="3"/>
        <v>0.8752362079872571</v>
      </c>
      <c r="W48" s="387">
        <f>1*(M48-Val!$D$28)*PI()/4*Val!$D$2^2*(SIN(D48)+Val!$D$18/2*SIN(2*D48)/(1-Val!$D$18^2*SIN(D48)^2)^0.5)*Val!$D$4*(D48-D47)+1*(M48-Val!$D$28)*PI()/4*Val!$D$3^2*(SIN(E48)+Val!$D$19/2*SIN(2*E48)/(1-Val!$D$19^2*SIN(E48)^2)^0.5)*Val!$D$5*(E48-E47)</f>
        <v>-0.020333760028220405</v>
      </c>
    </row>
    <row r="49" spans="2:23" ht="13.5">
      <c r="B49" s="32">
        <v>44</v>
      </c>
      <c r="C49" s="32">
        <f>B49-Data!$D$10</f>
        <v>-46</v>
      </c>
      <c r="D49" s="30">
        <f t="shared" si="16"/>
        <v>0.767944870877505</v>
      </c>
      <c r="E49" s="30">
        <f t="shared" si="17"/>
        <v>-0.8028514559173916</v>
      </c>
      <c r="F49" s="26">
        <f>Val!$D$11*(1-COS(D49))+Val!$D$12*(1-COS(E49))</f>
        <v>0.00029300087652864054</v>
      </c>
      <c r="G49" s="26">
        <f>Val!$D$11*((1-COS(Calc!D49))+1/Val!$D$18*(1-(1-(Val!$D$18*SIN(Calc!D49))^2)^0.5))+Val!$D$12*((1-COS(Calc!E49))+1/Val!$D$19*(1-(1-(Val!$D$19*SIN(Calc!E49))^2)^0.5))</f>
        <v>0.0003475159761010757</v>
      </c>
      <c r="H49" s="26">
        <f t="shared" si="18"/>
        <v>-5.451509957243514E-05</v>
      </c>
      <c r="I49" s="22">
        <f>Val!$D$11*(1-COS(D49))+Val!$D$14+Val!$D$13+Val!$D$12*((1-COS(Calc!E49)))+Val!$D$15</f>
        <v>0.0009930008765286404</v>
      </c>
      <c r="J49" s="22">
        <f>Val!$D$11*((1-COS(Calc!$D49))+1/Val!$D$18*(1-(1-(Val!$D$18*SIN(Calc!$D49))^2)^0.5))+Val!$D$14+Val!$D$13+Val!$D$12*((1-COS(Calc!$E49))+1/Val!$D$19*(1-(1-(Val!$D$19*SIN(Calc!$E49))^2)^0.5))+Val!$D$15</f>
        <v>0.0010475159761010756</v>
      </c>
      <c r="K49" s="44">
        <f t="shared" si="19"/>
        <v>-5.451509957243514E-05</v>
      </c>
      <c r="L49" s="50">
        <f>Val!$D$42*Val!$D$22/Val!$D$37/(1-Val!$D$39*COS(D49-Val!$D$40))</f>
        <v>159239.1925558757</v>
      </c>
      <c r="M49" s="50">
        <f>Val!$D$42*Val!$D$22/(Val!$D$11*((1-COS(Calc!D49))+1/Val!$D$18*(1-(1-(Val!$D$18*SIN(Calc!D49))^2)^0.5))/Val!$D$25+Val!$D$14/Val!$D$25+Val!$D$13/Val!$D$27+Val!$D$12*((1-COS(Calc!E49))+1/Val!$D$19*(1-(1-(Val!$D$19*SIN(Calc!E49))^2)^0.5))/Val!$D$26+Val!$D$15/Val!$D$26)</f>
        <v>149516.38986642842</v>
      </c>
      <c r="N49" s="16">
        <f t="shared" si="8"/>
        <v>-0.017211068417873367</v>
      </c>
      <c r="O49" s="16">
        <f t="shared" si="9"/>
        <v>-0.016225291340801352</v>
      </c>
      <c r="P49" s="16">
        <f t="shared" si="10"/>
        <v>1.0769577372937971E-07</v>
      </c>
      <c r="Q49" s="16">
        <f t="shared" si="11"/>
        <v>1.080975427264659E-07</v>
      </c>
      <c r="R49" s="13">
        <f t="shared" si="0"/>
        <v>0.40339303767258944</v>
      </c>
      <c r="S49" s="13">
        <f t="shared" si="1"/>
        <v>0.4255390519766503</v>
      </c>
      <c r="T49" s="13">
        <f t="shared" si="2"/>
        <v>0.9395738206725222</v>
      </c>
      <c r="U49" s="13">
        <f t="shared" si="3"/>
        <v>0.8822054635241176</v>
      </c>
      <c r="W49" s="387">
        <f>1*(M49-Val!$D$28)*PI()/4*Val!$D$2^2*(SIN(D49)+Val!$D$18/2*SIN(2*D49)/(1-Val!$D$18^2*SIN(D49)^2)^0.5)*Val!$D$4*(D49-D48)+1*(M49-Val!$D$28)*PI()/4*Val!$D$3^2*(SIN(E49)+Val!$D$19/2*SIN(2*E49)/(1-Val!$D$19^2*SIN(E49)^2)^0.5)*Val!$D$5*(E49-E48)</f>
        <v>-0.010423867166068745</v>
      </c>
    </row>
    <row r="50" spans="2:24" ht="13.5">
      <c r="B50" s="102">
        <v>45</v>
      </c>
      <c r="C50" s="102">
        <f>B50-Data!$D$10</f>
        <v>-45</v>
      </c>
      <c r="D50" s="103">
        <f t="shared" si="16"/>
        <v>0.7853981633974483</v>
      </c>
      <c r="E50" s="103">
        <f t="shared" si="17"/>
        <v>-0.7853981633974483</v>
      </c>
      <c r="F50" s="104">
        <f>Val!$D$11*(1-COS(D50))+Val!$D$12*(1-COS(E50))</f>
        <v>0.00029289318075491116</v>
      </c>
      <c r="G50" s="104">
        <f>Val!$D$11*((1-COS(Calc!D50))+1/Val!$D$18*(1-(1-(Val!$D$18*SIN(Calc!D50))^2)^0.5))+Val!$D$12*((1-COS(Calc!E50))+1/Val!$D$19*(1-(1-(Val!$D$19*SIN(Calc!E50))^2)^0.5))</f>
        <v>0.0003474078785583492</v>
      </c>
      <c r="H50" s="104">
        <f t="shared" si="18"/>
        <v>-5.451469780343805E-05</v>
      </c>
      <c r="I50" s="104">
        <f>Val!$D$11*(1-COS(D50))+Val!$D$14+Val!$D$13+Val!$D$12*((1-COS(Calc!E50)))+Val!$D$15</f>
        <v>0.0009928931807549112</v>
      </c>
      <c r="J50" s="104">
        <f>Val!$D$11*((1-COS(Calc!$D50))+1/Val!$D$18*(1-(1-(Val!$D$18*SIN(Calc!$D50))^2)^0.5))+Val!$D$14+Val!$D$13+Val!$D$12*((1-COS(Calc!$E50))+1/Val!$D$19*(1-(1-(Val!$D$19*SIN(Calc!$E50))^2)^0.5))+Val!$D$15</f>
        <v>0.001047407878558349</v>
      </c>
      <c r="K50" s="105">
        <f t="shared" si="19"/>
        <v>-5.4514697803437944E-05</v>
      </c>
      <c r="L50" s="232">
        <f>Val!$D$42*Val!$D$22/Val!$D$37/(1-Val!$D$39*COS(D50-Val!$D$40))</f>
        <v>160384.64822991114</v>
      </c>
      <c r="M50" s="232">
        <f>Val!$D$42*Val!$D$22/(Val!$D$11*((1-COS(Calc!D50))+1/Val!$D$18*(1-(1-(Val!$D$18*SIN(Calc!D50))^2)^0.5))/Val!$D$25+Val!$D$14/Val!$D$25+Val!$D$13/Val!$D$27+Val!$D$12*((1-COS(Calc!E50))+1/Val!$D$19*(1-(1-(Val!$D$19*SIN(Calc!E50))^2)^0.5))/Val!$D$26+Val!$D$15/Val!$D$26)</f>
        <v>150680.83814750414</v>
      </c>
      <c r="N50" s="392">
        <f t="shared" si="8"/>
        <v>0.01733309405599882</v>
      </c>
      <c r="O50" s="392">
        <f t="shared" si="9"/>
        <v>0.016350168895487356</v>
      </c>
      <c r="P50" s="392">
        <f t="shared" si="10"/>
        <v>-1.0769577372937971E-07</v>
      </c>
      <c r="Q50" s="392">
        <f t="shared" si="11"/>
        <v>-1.080975427264659E-07</v>
      </c>
      <c r="R50" s="103">
        <f t="shared" si="0"/>
        <v>0.40334928773607276</v>
      </c>
      <c r="S50" s="103">
        <f t="shared" si="1"/>
        <v>0.4254951388269683</v>
      </c>
      <c r="T50" s="103">
        <f t="shared" si="2"/>
        <v>0.9463324593392364</v>
      </c>
      <c r="U50" s="103">
        <f t="shared" si="3"/>
        <v>0.8890761660368922</v>
      </c>
      <c r="V50" s="410" t="s">
        <v>334</v>
      </c>
      <c r="W50" s="402">
        <f>1*(M50-Val!$D$28)*PI()/4*Val!$D$2^2*(SIN(D50)+Val!$D$18/2*SIN(2*D50)/(1-Val!$D$18^2*SIN(D50)^2)^0.5)*Val!$D$4*(D50-D49)+1*(M50-Val!$D$28)*PI()/4*Val!$D$3^2*(SIN(E50)+Val!$D$19/2*SIN(2*E50)/(1-Val!$D$19^2*SIN(E50)^2)^0.5)*Val!$D$5*(E50-E49)</f>
        <v>0</v>
      </c>
      <c r="X50" s="411"/>
    </row>
    <row r="51" spans="2:23" ht="13.5">
      <c r="B51" s="32">
        <v>46</v>
      </c>
      <c r="C51" s="32">
        <f>B51-Data!$D$10</f>
        <v>-44</v>
      </c>
      <c r="D51" s="30">
        <f t="shared" si="16"/>
        <v>0.8028514559173916</v>
      </c>
      <c r="E51" s="30">
        <f t="shared" si="17"/>
        <v>-0.767944870877505</v>
      </c>
      <c r="F51" s="26">
        <f>Val!$D$11*(1-COS(D51))+Val!$D$12*(1-COS(E51))</f>
        <v>0.00029300087652864054</v>
      </c>
      <c r="G51" s="26">
        <f>Val!$D$11*((1-COS(Calc!D51))+1/Val!$D$18*(1-(1-(Val!$D$18*SIN(Calc!D51))^2)^0.5))+Val!$D$12*((1-COS(Calc!E51))+1/Val!$D$19*(1-(1-(Val!$D$19*SIN(Calc!E51))^2)^0.5))</f>
        <v>0.0003475159761010757</v>
      </c>
      <c r="H51" s="26">
        <f t="shared" si="18"/>
        <v>-5.451509957243514E-05</v>
      </c>
      <c r="I51" s="22">
        <f>Val!$D$11*(1-COS(D51))+Val!$D$14+Val!$D$13+Val!$D$12*((1-COS(Calc!E51)))+Val!$D$15</f>
        <v>0.0009930008765286404</v>
      </c>
      <c r="J51" s="22">
        <f>Val!$D$11*((1-COS(Calc!$D51))+1/Val!$D$18*(1-(1-(Val!$D$18*SIN(Calc!$D51))^2)^0.5))+Val!$D$14+Val!$D$13+Val!$D$12*((1-COS(Calc!$E51))+1/Val!$D$19*(1-(1-(Val!$D$19*SIN(Calc!$E51))^2)^0.5))+Val!$D$15</f>
        <v>0.0010475159761010758</v>
      </c>
      <c r="K51" s="44">
        <f t="shared" si="19"/>
        <v>-5.4515099572435355E-05</v>
      </c>
      <c r="L51" s="50">
        <f>Val!$D$42*Val!$D$22/Val!$D$37/(1-Val!$D$39*COS(D51-Val!$D$40))</f>
        <v>161505.31004405505</v>
      </c>
      <c r="M51" s="50">
        <f>Val!$D$42*Val!$D$22/(Val!$D$11*((1-COS(Calc!D51))+1/Val!$D$18*(1-(1-(Val!$D$18*SIN(Calc!D51))^2)^0.5))/Val!$D$25+Val!$D$14/Val!$D$25+Val!$D$13/Val!$D$27+Val!$D$12*((1-COS(Calc!E51))+1/Val!$D$19*(1-(1-(Val!$D$19*SIN(Calc!E51))^2)^0.5))/Val!$D$26+Val!$D$15/Val!$D$26)</f>
        <v>151826.8504283156</v>
      </c>
      <c r="N51" s="16">
        <f t="shared" si="8"/>
        <v>0.05235175142908317</v>
      </c>
      <c r="O51" s="16">
        <f t="shared" si="9"/>
        <v>0.049413577403764467</v>
      </c>
      <c r="P51" s="16">
        <f t="shared" si="10"/>
        <v>-3.230545160120288E-07</v>
      </c>
      <c r="Q51" s="16">
        <f t="shared" si="11"/>
        <v>-3.2425786668384936E-07</v>
      </c>
      <c r="R51" s="13">
        <f t="shared" si="0"/>
        <v>0.40339303767258944</v>
      </c>
      <c r="S51" s="13">
        <f t="shared" si="1"/>
        <v>0.42553905197665043</v>
      </c>
      <c r="T51" s="13">
        <f t="shared" si="2"/>
        <v>0.9529448044880446</v>
      </c>
      <c r="U51" s="13">
        <f t="shared" si="3"/>
        <v>0.8958380889023441</v>
      </c>
      <c r="W51" s="387">
        <f>1*(M51-Val!$D$28)*PI()/4*Val!$D$2^2*(SIN(D51)+Val!$D$18/2*SIN(2*D51)/(1-Val!$D$18^2*SIN(D51)^2)^0.5)*Val!$D$4*(D51-D50)+1*(M51-Val!$D$28)*PI()/4*Val!$D$3^2*(SIN(E51)+Val!$D$19/2*SIN(2*E51)/(1-Val!$D$19^2*SIN(E51)^2)^0.5)*Val!$D$5*(E51-E50)</f>
        <v>0.010923363998082913</v>
      </c>
    </row>
    <row r="52" spans="2:23" ht="13.5">
      <c r="B52" s="32">
        <v>47</v>
      </c>
      <c r="C52" s="32">
        <f>B52-Data!$D$10</f>
        <v>-43</v>
      </c>
      <c r="D52" s="30">
        <f aca="true" t="shared" si="20" ref="D52:D87">PI()/180*B52</f>
        <v>0.8203047484373349</v>
      </c>
      <c r="E52" s="30">
        <f aca="true" t="shared" si="21" ref="E52:E87">PI()/180*C52</f>
        <v>-0.7504915783575618</v>
      </c>
      <c r="F52" s="26">
        <f>Val!$D$11*(1-COS(D52))+Val!$D$12*(1-COS(E52))</f>
        <v>0.00029332393104465257</v>
      </c>
      <c r="G52" s="26">
        <f>Val!$D$11*((1-COS(Calc!D52))+1/Val!$D$18*(1-(1-(Val!$D$18*SIN(Calc!D52))^2)^0.5))+Val!$D$12*((1-COS(Calc!E52))+1/Val!$D$19*(1-(1-(Val!$D$19*SIN(Calc!E52))^2)^0.5))</f>
        <v>0.00034784023396775953</v>
      </c>
      <c r="H52" s="26">
        <f aca="true" t="shared" si="22" ref="H52:H87">F52-G52</f>
        <v>-5.451630292310696E-05</v>
      </c>
      <c r="I52" s="22">
        <f>Val!$D$11*(1-COS(D52))+Val!$D$14+Val!$D$13+Val!$D$12*((1-COS(Calc!E52)))+Val!$D$15</f>
        <v>0.0009933239310446526</v>
      </c>
      <c r="J52" s="22">
        <f>Val!$D$11*((1-COS(Calc!$D52))+1/Val!$D$18*(1-(1-(Val!$D$18*SIN(Calc!$D52))^2)^0.5))+Val!$D$14+Val!$D$13+Val!$D$12*((1-COS(Calc!$E52))+1/Val!$D$19*(1-(1-(Val!$D$19*SIN(Calc!$E52))^2)^0.5))+Val!$D$15</f>
        <v>0.0010478402339677594</v>
      </c>
      <c r="K52" s="44">
        <f aca="true" t="shared" si="23" ref="K52:K87">I52-J52</f>
        <v>-5.451630292310685E-05</v>
      </c>
      <c r="L52" s="50">
        <f>Val!$D$42*Val!$D$22/Val!$D$37/(1-Val!$D$39*COS(D52-Val!$D$40))</f>
        <v>162599.439057278</v>
      </c>
      <c r="M52" s="50">
        <f>Val!$D$42*Val!$D$22/(Val!$D$11*((1-COS(Calc!D52))+1/Val!$D$18*(1-(1-(Val!$D$18*SIN(Calc!D52))^2)^0.5))/Val!$D$25+Val!$D$14/Val!$D$25+Val!$D$13/Val!$D$27+Val!$D$12*((1-COS(Calc!E52))+1/Val!$D$19*(1-(1-(Val!$D$19*SIN(Calc!E52))^2)^0.5))/Val!$D$26+Val!$D$15/Val!$D$26)</f>
        <v>152952.6629210128</v>
      </c>
      <c r="N52" s="16">
        <f t="shared" si="8"/>
        <v>0.08781657564526231</v>
      </c>
      <c r="O52" s="16">
        <f t="shared" si="9"/>
        <v>0.08294065919596794</v>
      </c>
      <c r="P52" s="16">
        <f t="shared" si="10"/>
        <v>-5.38314852759601E-07</v>
      </c>
      <c r="Q52" s="16">
        <f t="shared" si="11"/>
        <v>-5.403139256593848E-07</v>
      </c>
      <c r="R52" s="13">
        <f t="shared" si="0"/>
        <v>0.40352427415548514</v>
      </c>
      <c r="S52" s="13">
        <f t="shared" si="1"/>
        <v>0.4256707773043138</v>
      </c>
      <c r="T52" s="13">
        <f t="shared" si="2"/>
        <v>0.9594005956834304</v>
      </c>
      <c r="U52" s="13">
        <f t="shared" si="3"/>
        <v>0.9024808250789494</v>
      </c>
      <c r="W52" s="387">
        <f>1*(M52-Val!$D$28)*PI()/4*Val!$D$2^2*(SIN(D52)+Val!$D$18/2*SIN(2*D52)/(1-Val!$D$18^2*SIN(D52)^2)^0.5)*Val!$D$4*(D52-D51)+1*(M52-Val!$D$28)*PI()/4*Val!$D$3^2*(SIN(E52)+Val!$D$19/2*SIN(2*E52)/(1-Val!$D$19^2*SIN(E52)^2)^0.5)*Val!$D$5*(E52-E51)</f>
        <v>0.0223299143269724</v>
      </c>
    </row>
    <row r="53" spans="2:23" ht="13.5">
      <c r="B53" s="32">
        <v>48</v>
      </c>
      <c r="C53" s="32">
        <f>B53-Data!$D$10</f>
        <v>-42</v>
      </c>
      <c r="D53" s="30">
        <f t="shared" si="20"/>
        <v>0.8377580409572782</v>
      </c>
      <c r="E53" s="30">
        <f t="shared" si="21"/>
        <v>-0.7330382858376184</v>
      </c>
      <c r="F53" s="26">
        <f>Val!$D$11*(1-COS(D53))+Val!$D$12*(1-COS(E53))</f>
        <v>0.0002938622458974122</v>
      </c>
      <c r="G53" s="26">
        <f>Val!$D$11*((1-COS(Calc!D53))+1/Val!$D$18*(1-(1-(Val!$D$18*SIN(Calc!D53))^2)^0.5))+Val!$D$12*((1-COS(Calc!E53))+1/Val!$D$19*(1-(1-(Val!$D$19*SIN(Calc!E53))^2)^0.5))</f>
        <v>0.0003483805478934189</v>
      </c>
      <c r="H53" s="26">
        <f t="shared" si="22"/>
        <v>-5.451830199600674E-05</v>
      </c>
      <c r="I53" s="22">
        <f>Val!$D$11*(1-COS(D53))+Val!$D$14+Val!$D$13+Val!$D$12*((1-COS(Calc!E53)))+Val!$D$15</f>
        <v>0.0009938622458974121</v>
      </c>
      <c r="J53" s="22">
        <f>Val!$D$11*((1-COS(Calc!$D53))+1/Val!$D$18*(1-(1-(Val!$D$18*SIN(Calc!$D53))^2)^0.5))+Val!$D$14+Val!$D$13+Val!$D$12*((1-COS(Calc!$E53))+1/Val!$D$19*(1-(1-(Val!$D$19*SIN(Calc!$E53))^2)^0.5))+Val!$D$15</f>
        <v>0.001048380547893419</v>
      </c>
      <c r="K53" s="44">
        <f t="shared" si="23"/>
        <v>-5.4518301996006905E-05</v>
      </c>
      <c r="L53" s="50">
        <f>Val!$D$42*Val!$D$22/Val!$D$37/(1-Val!$D$39*COS(D53-Val!$D$40))</f>
        <v>163665.29317179165</v>
      </c>
      <c r="M53" s="50">
        <f>Val!$D$42*Val!$D$22/(Val!$D$11*((1-COS(Calc!D53))+1/Val!$D$18*(1-(1-(Val!$D$18*SIN(Calc!D53))^2)^0.5))/Val!$D$25+Val!$D$14/Val!$D$25+Val!$D$13/Val!$D$27+Val!$D$12*((1-COS(Calc!E53))+1/Val!$D$19*(1-(1-(Val!$D$19*SIN(Calc!E53))^2)^0.5))/Val!$D$26+Val!$D$15/Val!$D$26)</f>
        <v>154056.48586121065</v>
      </c>
      <c r="N53" s="16">
        <f t="shared" si="8"/>
        <v>0.12369747372724285</v>
      </c>
      <c r="O53" s="16">
        <f t="shared" si="9"/>
        <v>0.11690529524502541</v>
      </c>
      <c r="P53" s="16">
        <f t="shared" si="10"/>
        <v>-7.534112135883383E-07</v>
      </c>
      <c r="Q53" s="16">
        <f t="shared" si="11"/>
        <v>-7.561962746285801E-07</v>
      </c>
      <c r="R53" s="13">
        <f t="shared" si="0"/>
        <v>0.4037429572088557</v>
      </c>
      <c r="S53" s="13">
        <f t="shared" si="1"/>
        <v>0.42589027245373456</v>
      </c>
      <c r="T53" s="13">
        <f t="shared" si="2"/>
        <v>0.9656895538637584</v>
      </c>
      <c r="U53" s="13">
        <f t="shared" si="3"/>
        <v>0.9089938142534189</v>
      </c>
      <c r="W53" s="387">
        <f>1*(M53-Val!$D$28)*PI()/4*Val!$D$2^2*(SIN(D53)+Val!$D$18/2*SIN(2*D53)/(1-Val!$D$18^2*SIN(D53)^2)^0.5)*Val!$D$4*(D53-D52)+1*(M53-Val!$D$28)*PI()/4*Val!$D$3^2*(SIN(E53)+Val!$D$19/2*SIN(2*E53)/(1-Val!$D$19^2*SIN(E53)^2)^0.5)*Val!$D$5*(E53-E52)</f>
        <v>0.03420149349719742</v>
      </c>
    </row>
    <row r="54" spans="2:23" ht="13.5">
      <c r="B54" s="32">
        <v>49</v>
      </c>
      <c r="C54" s="32">
        <f>B54-Data!$D$10</f>
        <v>-41</v>
      </c>
      <c r="D54" s="30">
        <f t="shared" si="20"/>
        <v>0.8552113334772214</v>
      </c>
      <c r="E54" s="30">
        <f t="shared" si="21"/>
        <v>-0.7155849933176751</v>
      </c>
      <c r="F54" s="26">
        <f>Val!$D$11*(1-COS(D54))+Val!$D$12*(1-COS(E54))</f>
        <v>0.0002946156571110005</v>
      </c>
      <c r="G54" s="26">
        <f>Val!$D$11*((1-COS(Calc!D54))+1/Val!$D$18*(1-(1-(Val!$D$18*SIN(Calc!D54))^2)^0.5))+Val!$D$12*((1-COS(Calc!E54))+1/Val!$D$19*(1-(1-(Val!$D$19*SIN(Calc!E54))^2)^0.5))</f>
        <v>0.0003491367441680475</v>
      </c>
      <c r="H54" s="26">
        <f t="shared" si="22"/>
        <v>-5.4521087057046985E-05</v>
      </c>
      <c r="I54" s="22">
        <f>Val!$D$11*(1-COS(D54))+Val!$D$14+Val!$D$13+Val!$D$12*((1-COS(Calc!E54)))+Val!$D$15</f>
        <v>0.0009946156571110003</v>
      </c>
      <c r="J54" s="22">
        <f>Val!$D$11*((1-COS(Calc!$D54))+1/Val!$D$18*(1-(1-(Val!$D$18*SIN(Calc!$D54))^2)^0.5))+Val!$D$14+Val!$D$13+Val!$D$12*((1-COS(Calc!$E54))+1/Val!$D$19*(1-(1-(Val!$D$19*SIN(Calc!$E54))^2)^0.5))+Val!$D$15</f>
        <v>0.0010491367441680473</v>
      </c>
      <c r="K54" s="44">
        <f t="shared" si="23"/>
        <v>-5.4521087057046985E-05</v>
      </c>
      <c r="L54" s="50">
        <f>Val!$D$42*Val!$D$22/Val!$D$37/(1-Val!$D$39*COS(D54-Val!$D$40))</f>
        <v>164701.13274885443</v>
      </c>
      <c r="M54" s="50">
        <f>Val!$D$42*Val!$D$22/(Val!$D$11*((1-COS(Calc!D54))+1/Val!$D$18*(1-(1-(Val!$D$18*SIN(Calc!D54))^2)^0.5))/Val!$D$25+Val!$D$14/Val!$D$25+Val!$D$13/Val!$D$27+Val!$D$12*((1-COS(Calc!E54))+1/Val!$D$19*(1-(1-(Val!$D$19*SIN(Calc!E54))^2)^0.5))/Val!$D$26+Val!$D$15/Val!$D$26)</f>
        <v>155136.50851712297</v>
      </c>
      <c r="N54" s="16">
        <f t="shared" si="8"/>
        <v>0.15996261724699826</v>
      </c>
      <c r="O54" s="16">
        <f t="shared" si="9"/>
        <v>0.1512795263422386</v>
      </c>
      <c r="P54" s="16">
        <f t="shared" si="10"/>
        <v>-9.682780780628634E-07</v>
      </c>
      <c r="Q54" s="16">
        <f t="shared" si="11"/>
        <v>-9.718355658345145E-07</v>
      </c>
      <c r="R54" s="13">
        <f t="shared" si="0"/>
        <v>0.4040490202197248</v>
      </c>
      <c r="S54" s="13">
        <f t="shared" si="1"/>
        <v>0.4261974668575959</v>
      </c>
      <c r="T54" s="13">
        <f t="shared" si="2"/>
        <v>0.9718014144767365</v>
      </c>
      <c r="U54" s="13">
        <f t="shared" si="3"/>
        <v>0.9153663723965554</v>
      </c>
      <c r="W54" s="387">
        <f>1*(M54-Val!$D$28)*PI()/4*Val!$D$2^2*(SIN(D54)+Val!$D$18/2*SIN(2*D54)/(1-Val!$D$18^2*SIN(D54)^2)^0.5)*Val!$D$4*(D54-D53)+1*(M54-Val!$D$28)*PI()/4*Val!$D$3^2*(SIN(E54)+Val!$D$19/2*SIN(2*E54)/(1-Val!$D$19^2*SIN(E54)^2)^0.5)*Val!$D$5*(E54-E53)</f>
        <v>0.046518092134230304</v>
      </c>
    </row>
    <row r="55" spans="2:23" ht="13.5">
      <c r="B55" s="32">
        <v>50</v>
      </c>
      <c r="C55" s="32">
        <f>B55-Data!$D$10</f>
        <v>-40</v>
      </c>
      <c r="D55" s="30">
        <f t="shared" si="20"/>
        <v>0.8726646259971648</v>
      </c>
      <c r="E55" s="30">
        <f t="shared" si="21"/>
        <v>-0.6981317007977318</v>
      </c>
      <c r="F55" s="26">
        <f>Val!$D$11*(1-COS(D55))+Val!$D$12*(1-COS(E55))</f>
        <v>0.0002955839351890634</v>
      </c>
      <c r="G55" s="26">
        <f>Val!$D$11*((1-COS(Calc!D55))+1/Val!$D$18*(1-(1-(Val!$D$18*SIN(Calc!D55))^2)^0.5))+Val!$D$12*((1-COS(Calc!E55))+1/Val!$D$19*(1-(1-(Val!$D$19*SIN(Calc!E55))^2)^0.5))</f>
        <v>0.000350108579733882</v>
      </c>
      <c r="H55" s="26">
        <f t="shared" si="22"/>
        <v>-5.4524644544818636E-05</v>
      </c>
      <c r="I55" s="22">
        <f>Val!$D$11*(1-COS(D55))+Val!$D$14+Val!$D$13+Val!$D$12*((1-COS(Calc!E55)))+Val!$D$15</f>
        <v>0.0009955839351890633</v>
      </c>
      <c r="J55" s="22">
        <f>Val!$D$11*((1-COS(Calc!$D55))+1/Val!$D$18*(1-(1-(Val!$D$18*SIN(Calc!$D55))^2)^0.5))+Val!$D$14+Val!$D$13+Val!$D$12*((1-COS(Calc!$E55))+1/Val!$D$19*(1-(1-(Val!$D$19*SIN(Calc!$E55))^2)^0.5))+Val!$D$15</f>
        <v>0.0010501085797338821</v>
      </c>
      <c r="K55" s="44">
        <f t="shared" si="23"/>
        <v>-5.45246445448188E-05</v>
      </c>
      <c r="L55" s="50">
        <f>Val!$D$42*Val!$D$22/Val!$D$37/(1-Val!$D$39*COS(D55-Val!$D$40))</f>
        <v>165705.22648008214</v>
      </c>
      <c r="M55" s="50">
        <f>Val!$D$42*Val!$D$22/(Val!$D$11*((1-COS(Calc!D55))+1/Val!$D$18*(1-(1-(Val!$D$18*SIN(Calc!D55))^2)^0.5))/Val!$D$25+Val!$D$14/Val!$D$25+Val!$D$13/Val!$D$27+Val!$D$12*((1-COS(Calc!E55))+1/Val!$D$19*(1-(1-(Val!$D$19*SIN(Calc!E55))^2)^0.5))/Val!$D$26+Val!$D$15/Val!$D$26)</f>
        <v>156190.9045978402</v>
      </c>
      <c r="N55" s="16">
        <f t="shared" si="8"/>
        <v>0.19657848186311044</v>
      </c>
      <c r="O55" s="16">
        <f t="shared" si="9"/>
        <v>0.1860335669098734</v>
      </c>
      <c r="P55" s="16">
        <f t="shared" si="10"/>
        <v>-1.1828499956549328E-06</v>
      </c>
      <c r="Q55" s="16">
        <f t="shared" si="11"/>
        <v>-1.1871625873612589E-06</v>
      </c>
      <c r="R55" s="13">
        <f t="shared" si="0"/>
        <v>0.4044423699583343</v>
      </c>
      <c r="S55" s="13">
        <f t="shared" si="1"/>
        <v>0.4265922617770031</v>
      </c>
      <c r="T55" s="13">
        <f t="shared" si="2"/>
        <v>0.9777259621224546</v>
      </c>
      <c r="U55" s="13">
        <f t="shared" si="3"/>
        <v>0.921587723674219</v>
      </c>
      <c r="W55" s="387">
        <f>1*(M55-Val!$D$28)*PI()/4*Val!$D$2^2*(SIN(D55)+Val!$D$18/2*SIN(2*D55)/(1-Val!$D$18^2*SIN(D55)^2)^0.5)*Val!$D$4*(D55-D54)+1*(M55-Val!$D$28)*PI()/4*Val!$D$3^2*(SIN(E55)+Val!$D$19/2*SIN(2*E55)/(1-Val!$D$19^2*SIN(E55)^2)^0.5)*Val!$D$5*(E55-E54)</f>
        <v>0.05925785377028486</v>
      </c>
    </row>
    <row r="56" spans="2:23" ht="13.5">
      <c r="B56" s="32">
        <v>51</v>
      </c>
      <c r="C56" s="32">
        <f>B56-Data!$D$10</f>
        <v>-39</v>
      </c>
      <c r="D56" s="30">
        <f t="shared" si="20"/>
        <v>0.8901179185171081</v>
      </c>
      <c r="E56" s="30">
        <f t="shared" si="21"/>
        <v>-0.6806784082777885</v>
      </c>
      <c r="F56" s="26">
        <f>Val!$D$11*(1-COS(D56))+Val!$D$12*(1-COS(E56))</f>
        <v>0.0002967667851847183</v>
      </c>
      <c r="G56" s="26">
        <f>Val!$D$11*((1-COS(Calc!D56))+1/Val!$D$18*(1-(1-(Val!$D$18*SIN(Calc!D56))^2)^0.5))+Val!$D$12*((1-COS(Calc!E56))+1/Val!$D$19*(1-(1-(Val!$D$19*SIN(Calc!E56))^2)^0.5))</f>
        <v>0.00035129574232124327</v>
      </c>
      <c r="H56" s="26">
        <f t="shared" si="22"/>
        <v>-5.452895713652496E-05</v>
      </c>
      <c r="I56" s="22">
        <f>Val!$D$11*(1-COS(D56))+Val!$D$14+Val!$D$13+Val!$D$12*((1-COS(Calc!E56)))+Val!$D$15</f>
        <v>0.0009967667851847183</v>
      </c>
      <c r="J56" s="22">
        <f>Val!$D$11*((1-COS(Calc!$D56))+1/Val!$D$18*(1-(1-(Val!$D$18*SIN(Calc!$D56))^2)^0.5))+Val!$D$14+Val!$D$13+Val!$D$12*((1-COS(Calc!$E56))+1/Val!$D$19*(1-(1-(Val!$D$19*SIN(Calc!$E56))^2)^0.5))+Val!$D$15</f>
        <v>0.0010512957423212434</v>
      </c>
      <c r="K56" s="44">
        <f t="shared" si="23"/>
        <v>-5.452895713652507E-05</v>
      </c>
      <c r="L56" s="50">
        <f>Val!$D$42*Val!$D$22/Val!$D$37/(1-Val!$D$39*COS(D56-Val!$D$40))</f>
        <v>166675.85748696447</v>
      </c>
      <c r="M56" s="50">
        <f>Val!$D$42*Val!$D$22/(Val!$D$11*((1-COS(Calc!D56))+1/Val!$D$18*(1-(1-(Val!$D$18*SIN(Calc!D56))^2)^0.5))/Val!$D$25+Val!$D$14/Val!$D$25+Val!$D$13/Val!$D$27+Val!$D$12*((1-COS(Calc!E56))+1/Val!$D$19*(1-(1-(Val!$D$19*SIN(Calc!E56))^2)^0.5))/Val!$D$26+Val!$D$15/Val!$D$26)</f>
        <v>157217.83804688157</v>
      </c>
      <c r="N56" s="16">
        <f t="shared" si="8"/>
        <v>0.23350989718713333</v>
      </c>
      <c r="O56" s="16">
        <f t="shared" si="9"/>
        <v>0.22113582930914807</v>
      </c>
      <c r="P56" s="16">
        <f t="shared" si="10"/>
        <v>-1.3970616056799626E-06</v>
      </c>
      <c r="Q56" s="16">
        <f t="shared" si="11"/>
        <v>-1.4021083013565552E-06</v>
      </c>
      <c r="R56" s="13">
        <f t="shared" si="0"/>
        <v>0.40492288660654346</v>
      </c>
      <c r="S56" s="13">
        <f t="shared" si="1"/>
        <v>0.4270745303566654</v>
      </c>
      <c r="T56" s="13">
        <f t="shared" si="2"/>
        <v>0.9834530665429296</v>
      </c>
      <c r="U56" s="13">
        <f t="shared" si="3"/>
        <v>0.9276470346315616</v>
      </c>
      <c r="W56" s="387">
        <f>1*(M56-Val!$D$28)*PI()/4*Val!$D$2^2*(SIN(D56)+Val!$D$18/2*SIN(2*D56)/(1-Val!$D$18^2*SIN(D56)^2)^0.5)*Val!$D$4*(D56-D55)+1*(M56-Val!$D$28)*PI()/4*Val!$D$3^2*(SIN(E56)+Val!$D$19/2*SIN(2*E56)/(1-Val!$D$19^2*SIN(E56)^2)^0.5)*Val!$D$5*(E56-E55)</f>
        <v>0.07239708990279548</v>
      </c>
    </row>
    <row r="57" spans="2:23" ht="13.5">
      <c r="B57" s="32">
        <v>52</v>
      </c>
      <c r="C57" s="32">
        <f>B57-Data!$D$10</f>
        <v>-38</v>
      </c>
      <c r="D57" s="30">
        <f t="shared" si="20"/>
        <v>0.9075712110370514</v>
      </c>
      <c r="E57" s="30">
        <f t="shared" si="21"/>
        <v>-0.6632251157578453</v>
      </c>
      <c r="F57" s="26">
        <f>Val!$D$11*(1-COS(D57))+Val!$D$12*(1-COS(E57))</f>
        <v>0.00029816384679039827</v>
      </c>
      <c r="G57" s="26">
        <f>Val!$D$11*((1-COS(Calc!D57))+1/Val!$D$18*(1-(1-(Val!$D$18*SIN(Calc!D57))^2)^0.5))+Val!$D$12*((1-COS(Calc!E57))+1/Val!$D$19*(1-(1-(Val!$D$19*SIN(Calc!E57))^2)^0.5))</f>
        <v>0.0003526978506225998</v>
      </c>
      <c r="H57" s="26">
        <f t="shared" si="22"/>
        <v>-5.4534003832201554E-05</v>
      </c>
      <c r="I57" s="22">
        <f>Val!$D$11*(1-COS(D57))+Val!$D$14+Val!$D$13+Val!$D$12*((1-COS(Calc!E57)))+Val!$D$15</f>
        <v>0.000998163846790398</v>
      </c>
      <c r="J57" s="22">
        <f>Val!$D$11*((1-COS(Calc!$D57))+1/Val!$D$18*(1-(1-(Val!$D$18*SIN(Calc!$D57))^2)^0.5))+Val!$D$14+Val!$D$13+Val!$D$12*((1-COS(Calc!$E57))+1/Val!$D$19*(1-(1-(Val!$D$19*SIN(Calc!$E57))^2)^0.5))+Val!$D$15</f>
        <v>0.0010526978506225997</v>
      </c>
      <c r="K57" s="44">
        <f t="shared" si="23"/>
        <v>-5.453400383220166E-05</v>
      </c>
      <c r="L57" s="50">
        <f>Val!$D$42*Val!$D$22/Val!$D$37/(1-Val!$D$39*COS(D57-Val!$D$40))</f>
        <v>167611.32961745554</v>
      </c>
      <c r="M57" s="50">
        <f>Val!$D$42*Val!$D$22/(Val!$D$11*((1-COS(Calc!D57))+1/Val!$D$18*(1-(1-(Val!$D$18*SIN(Calc!D57))^2)^0.5))/Val!$D$25+Val!$D$14/Val!$D$25+Val!$D$13/Val!$D$27+Val!$D$12*((1-COS(Calc!E57))+1/Val!$D$19*(1-(1-(Val!$D$19*SIN(Calc!E57))^2)^0.5))/Val!$D$26+Val!$D$15/Val!$D$26)</f>
        <v>158215.4692022531</v>
      </c>
      <c r="N57" s="16">
        <f t="shared" si="8"/>
        <v>0.27072010715793743</v>
      </c>
      <c r="O57" s="16">
        <f t="shared" si="9"/>
        <v>0.25655295911515774</v>
      </c>
      <c r="P57" s="16">
        <f t="shared" si="10"/>
        <v>-1.610847657205908E-06</v>
      </c>
      <c r="Q57" s="16">
        <f t="shared" si="11"/>
        <v>-1.6166038818262373E-06</v>
      </c>
      <c r="R57" s="13">
        <f t="shared" si="0"/>
        <v>0.40549042379432626</v>
      </c>
      <c r="S57" s="13">
        <f t="shared" si="1"/>
        <v>0.4276441176956085</v>
      </c>
      <c r="T57" s="13">
        <f t="shared" si="2"/>
        <v>0.9889727197744653</v>
      </c>
      <c r="U57" s="13">
        <f t="shared" si="3"/>
        <v>0.9335334505397901</v>
      </c>
      <c r="W57" s="387">
        <f>1*(M57-Val!$D$28)*PI()/4*Val!$D$2^2*(SIN(D57)+Val!$D$18/2*SIN(2*D57)/(1-Val!$D$18^2*SIN(D57)^2)^0.5)*Val!$D$4*(D57-D56)+1*(M57-Val!$D$28)*PI()/4*Val!$D$3^2*(SIN(E57)+Val!$D$19/2*SIN(2*E57)/(1-Val!$D$19^2*SIN(E57)^2)^0.5)*Val!$D$5*(E57-E56)</f>
        <v>0.08591030583773973</v>
      </c>
    </row>
    <row r="58" spans="2:23" ht="13.5">
      <c r="B58" s="32">
        <v>53</v>
      </c>
      <c r="C58" s="32">
        <f>B58-Data!$D$10</f>
        <v>-37</v>
      </c>
      <c r="D58" s="30">
        <f t="shared" si="20"/>
        <v>0.9250245035569946</v>
      </c>
      <c r="E58" s="30">
        <f t="shared" si="21"/>
        <v>-0.6457718232379019</v>
      </c>
      <c r="F58" s="26">
        <f>Val!$D$11*(1-COS(D58))+Val!$D$12*(1-COS(E58))</f>
        <v>0.0002997746944476042</v>
      </c>
      <c r="G58" s="26">
        <f>Val!$D$11*((1-COS(Calc!D58))+1/Val!$D$18*(1-(1-(Val!$D$18*SIN(Calc!D58))^2)^0.5))+Val!$D$12*((1-COS(Calc!E58))+1/Val!$D$19*(1-(1-(Val!$D$19*SIN(Calc!E58))^2)^0.5))</f>
        <v>0.00035431445450442606</v>
      </c>
      <c r="H58" s="26">
        <f t="shared" si="22"/>
        <v>-5.4539760056821884E-05</v>
      </c>
      <c r="I58" s="22">
        <f>Val!$D$11*(1-COS(D58))+Val!$D$14+Val!$D$13+Val!$D$12*((1-COS(Calc!E58)))+Val!$D$15</f>
        <v>0.0009997746944476042</v>
      </c>
      <c r="J58" s="22">
        <f>Val!$D$11*((1-COS(Calc!$D58))+1/Val!$D$18*(1-(1-(Val!$D$18*SIN(Calc!$D58))^2)^0.5))+Val!$D$14+Val!$D$13+Val!$D$12*((1-COS(Calc!$E58))+1/Val!$D$19*(1-(1-(Val!$D$19*SIN(Calc!$E58))^2)^0.5))+Val!$D$15</f>
        <v>0.001054314454504426</v>
      </c>
      <c r="K58" s="44">
        <f t="shared" si="23"/>
        <v>-5.4539760056821884E-05</v>
      </c>
      <c r="L58" s="50">
        <f>Val!$D$42*Val!$D$22/Val!$D$37/(1-Val!$D$39*COS(D58-Val!$D$40))</f>
        <v>168509.97390478803</v>
      </c>
      <c r="M58" s="50">
        <f>Val!$D$42*Val!$D$22/(Val!$D$11*((1-COS(Calc!D58))+1/Val!$D$18*(1-(1-(Val!$D$18*SIN(Calc!D58))^2)^0.5))/Val!$D$25+Val!$D$14/Val!$D$25+Val!$D$13/Val!$D$27+Val!$D$12*((1-COS(Calc!E58))+1/Val!$D$19*(1-(1-(Val!$D$19*SIN(Calc!E58))^2)^0.5))/Val!$D$26+Val!$D$15/Val!$D$26)</f>
        <v>159181.96129917438</v>
      </c>
      <c r="N58" s="16">
        <f t="shared" si="8"/>
        <v>0.3081708410149199</v>
      </c>
      <c r="O58" s="16">
        <f t="shared" si="9"/>
        <v>0.2922498817556433</v>
      </c>
      <c r="P58" s="16">
        <f t="shared" si="10"/>
        <v>-1.824143028931189E-06</v>
      </c>
      <c r="Q58" s="16">
        <f t="shared" si="11"/>
        <v>-1.8305807518988562E-06</v>
      </c>
      <c r="R58" s="13">
        <f t="shared" si="0"/>
        <v>0.40614480864435754</v>
      </c>
      <c r="S58" s="13">
        <f t="shared" si="1"/>
        <v>0.4283008409332384</v>
      </c>
      <c r="T58" s="13">
        <f t="shared" si="2"/>
        <v>0.9942750742571925</v>
      </c>
      <c r="U58" s="13">
        <f t="shared" si="3"/>
        <v>0.9392361337648102</v>
      </c>
      <c r="W58" s="387">
        <f>1*(M58-Val!$D$28)*PI()/4*Val!$D$2^2*(SIN(D58)+Val!$D$18/2*SIN(2*D58)/(1-Val!$D$18^2*SIN(D58)^2)^0.5)*Val!$D$4*(D58-D57)+1*(M58-Val!$D$28)*PI()/4*Val!$D$3^2*(SIN(E58)+Val!$D$19/2*SIN(2*E58)/(1-Val!$D$19^2*SIN(E58)^2)^0.5)*Val!$D$5*(E58-E57)</f>
        <v>0.09977023776428634</v>
      </c>
    </row>
    <row r="59" spans="2:23" ht="13.5">
      <c r="B59" s="32">
        <v>54</v>
      </c>
      <c r="C59" s="32">
        <f>B59-Data!$D$10</f>
        <v>-36</v>
      </c>
      <c r="D59" s="30">
        <f t="shared" si="20"/>
        <v>0.9424777960769379</v>
      </c>
      <c r="E59" s="30">
        <f t="shared" si="21"/>
        <v>-0.6283185307179586</v>
      </c>
      <c r="F59" s="26">
        <f>Val!$D$11*(1-COS(D59))+Val!$D$12*(1-COS(E59))</f>
        <v>0.00030159883747653537</v>
      </c>
      <c r="G59" s="26">
        <f>Val!$D$11*((1-COS(Calc!D59))+1/Val!$D$18*(1-(1-(Val!$D$18*SIN(Calc!D59))^2)^0.5))+Val!$D$12*((1-COS(Calc!E59))+1/Val!$D$19*(1-(1-(Val!$D$19*SIN(Calc!E59))^2)^0.5))</f>
        <v>0.0003561450352563249</v>
      </c>
      <c r="H59" s="26">
        <f t="shared" si="22"/>
        <v>-5.454619777978955E-05</v>
      </c>
      <c r="I59" s="22">
        <f>Val!$D$11*(1-COS(D59))+Val!$D$14+Val!$D$13+Val!$D$12*((1-COS(Calc!E59)))+Val!$D$15</f>
        <v>0.0010015988374765352</v>
      </c>
      <c r="J59" s="22">
        <f>Val!$D$11*((1-COS(Calc!$D59))+1/Val!$D$18*(1-(1-(Val!$D$18*SIN(Calc!$D59))^2)^0.5))+Val!$D$14+Val!$D$13+Val!$D$12*((1-COS(Calc!$E59))+1/Val!$D$19*(1-(1-(Val!$D$19*SIN(Calc!$E59))^2)^0.5))+Val!$D$15</f>
        <v>0.0010561450352563249</v>
      </c>
      <c r="K59" s="44">
        <f t="shared" si="23"/>
        <v>-5.454619777978966E-05</v>
      </c>
      <c r="L59" s="50">
        <f>Val!$D$42*Val!$D$22/Val!$D$37/(1-Val!$D$39*COS(D59-Val!$D$40))</f>
        <v>169370.1551501276</v>
      </c>
      <c r="M59" s="50">
        <f>Val!$D$42*Val!$D$22/(Val!$D$11*((1-COS(Calc!D59))+1/Val!$D$18*(1-(1-(Val!$D$18*SIN(Calc!D59))^2)^0.5))/Val!$D$25+Val!$D$14/Val!$D$25+Val!$D$13/Val!$D$27+Val!$D$12*((1-COS(Calc!E59))+1/Val!$D$19*(1-(1-(Val!$D$19*SIN(Calc!E59))^2)^0.5))/Val!$D$26+Val!$D$15/Val!$D$26)</f>
        <v>160115.48728647473</v>
      </c>
      <c r="N59" s="16">
        <f t="shared" si="8"/>
        <v>0.3458223948646633</v>
      </c>
      <c r="O59" s="16">
        <f t="shared" si="9"/>
        <v>0.3281898608223754</v>
      </c>
      <c r="P59" s="16">
        <f t="shared" si="10"/>
        <v>-2.0368827490187583E-06</v>
      </c>
      <c r="Q59" s="16">
        <f t="shared" si="11"/>
        <v>-2.0439706204763205E-06</v>
      </c>
      <c r="R59" s="13">
        <f t="shared" si="0"/>
        <v>0.4068858418246727</v>
      </c>
      <c r="S59" s="13">
        <f t="shared" si="1"/>
        <v>0.42904448935054385</v>
      </c>
      <c r="T59" s="13">
        <f t="shared" si="2"/>
        <v>0.9993504816753189</v>
      </c>
      <c r="U59" s="13">
        <f t="shared" si="3"/>
        <v>0.9447443039866423</v>
      </c>
      <c r="W59" s="387">
        <f>1*(M59-Val!$D$28)*PI()/4*Val!$D$2^2*(SIN(D59)+Val!$D$18/2*SIN(2*D59)/(1-Val!$D$18^2*SIN(D59)^2)^0.5)*Val!$D$4*(D59-D58)+1*(M59-Val!$D$28)*PI()/4*Val!$D$3^2*(SIN(E59)+Val!$D$19/2*SIN(2*E59)/(1-Val!$D$19^2*SIN(E59)^2)^0.5)*Val!$D$5*(E59-E58)</f>
        <v>0.11394790142443273</v>
      </c>
    </row>
    <row r="60" spans="2:23" ht="13.5">
      <c r="B60" s="32">
        <v>55</v>
      </c>
      <c r="C60" s="32">
        <f>B60-Data!$D$10</f>
        <v>-35</v>
      </c>
      <c r="D60" s="30">
        <f t="shared" si="20"/>
        <v>0.9599310885968813</v>
      </c>
      <c r="E60" s="30">
        <f t="shared" si="21"/>
        <v>-0.6108652381980153</v>
      </c>
      <c r="F60" s="26">
        <f>Val!$D$11*(1-COS(D60))+Val!$D$12*(1-COS(E60))</f>
        <v>0.0003036357202255541</v>
      </c>
      <c r="G60" s="26">
        <f>Val!$D$11*((1-COS(Calc!D60))+1/Val!$D$18*(1-(1-(Val!$D$18*SIN(Calc!D60))^2)^0.5))+Val!$D$12*((1-COS(Calc!E60))+1/Val!$D$19*(1-(1-(Val!$D$19*SIN(Calc!E60))^2)^0.5))</f>
        <v>0.00035818900587680124</v>
      </c>
      <c r="H60" s="26">
        <f t="shared" si="22"/>
        <v>-5.455328565124711E-05</v>
      </c>
      <c r="I60" s="22">
        <f>Val!$D$11*(1-COS(D60))+Val!$D$14+Val!$D$13+Val!$D$12*((1-COS(Calc!E60)))+Val!$D$15</f>
        <v>0.001003635720225554</v>
      </c>
      <c r="J60" s="22">
        <f>Val!$D$11*((1-COS(Calc!$D60))+1/Val!$D$18*(1-(1-(Val!$D$18*SIN(Calc!$D60))^2)^0.5))+Val!$D$14+Val!$D$13+Val!$D$12*((1-COS(Calc!$E60))+1/Val!$D$19*(1-(1-(Val!$D$19*SIN(Calc!$E60))^2)^0.5))+Val!$D$15</f>
        <v>0.0010581890058768012</v>
      </c>
      <c r="K60" s="44">
        <f t="shared" si="23"/>
        <v>-5.455328565124717E-05</v>
      </c>
      <c r="L60" s="50">
        <f>Val!$D$42*Val!$D$22/Val!$D$37/(1-Val!$D$39*COS(D60-Val!$D$40))</f>
        <v>170190.27858740545</v>
      </c>
      <c r="M60" s="50">
        <f>Val!$D$42*Val!$D$22/(Val!$D$11*((1-COS(Calc!D60))+1/Val!$D$18*(1-(1-(Val!$D$18*SIN(Calc!D60))^2)^0.5))/Val!$D$25+Val!$D$14/Val!$D$25+Val!$D$13/Val!$D$27+Val!$D$12*((1-COS(Calc!E60))+1/Val!$D$19*(1-(1-(Val!$D$19*SIN(Calc!E60))^2)^0.5))/Val!$D$26+Val!$D$15/Val!$D$26)</f>
        <v>161014.23692247213</v>
      </c>
      <c r="N60" s="16">
        <f t="shared" si="8"/>
        <v>0.38363372373108146</v>
      </c>
      <c r="O60" s="16">
        <f t="shared" si="9"/>
        <v>0.3643345682608568</v>
      </c>
      <c r="P60" s="16">
        <f t="shared" si="10"/>
        <v>-2.2490020148894065E-06</v>
      </c>
      <c r="Q60" s="16">
        <f t="shared" si="11"/>
        <v>-2.2567055181759582E-06</v>
      </c>
      <c r="R60" s="13">
        <f t="shared" si="0"/>
        <v>0.4077132976093866</v>
      </c>
      <c r="S60" s="13">
        <f t="shared" si="1"/>
        <v>0.4298748244861883</v>
      </c>
      <c r="T60" s="13">
        <f t="shared" si="2"/>
        <v>1.0041895322822596</v>
      </c>
      <c r="U60" s="13">
        <f t="shared" si="3"/>
        <v>0.9500472800678971</v>
      </c>
      <c r="W60" s="387">
        <f>1*(M60-Val!$D$28)*PI()/4*Val!$D$2^2*(SIN(D60)+Val!$D$18/2*SIN(2*D60)/(1-Val!$D$18^2*SIN(D60)^2)^0.5)*Val!$D$4*(D60-D59)+1*(M60-Val!$D$28)*PI()/4*Val!$D$3^2*(SIN(E60)+Val!$D$19/2*SIN(2*E60)/(1-Val!$D$19^2*SIN(E60)^2)^0.5)*Val!$D$5*(E60-E59)</f>
        <v>0.1284126526468275</v>
      </c>
    </row>
    <row r="61" spans="2:23" ht="13.5">
      <c r="B61" s="32">
        <v>56</v>
      </c>
      <c r="C61" s="32">
        <f>B61-Data!$D$10</f>
        <v>-34</v>
      </c>
      <c r="D61" s="30">
        <f t="shared" si="20"/>
        <v>0.9773843811168246</v>
      </c>
      <c r="E61" s="30">
        <f t="shared" si="21"/>
        <v>-0.5934119456780721</v>
      </c>
      <c r="F61" s="26">
        <f>Val!$D$11*(1-COS(D61))+Val!$D$12*(1-COS(E61))</f>
        <v>0.00030588472224044353</v>
      </c>
      <c r="G61" s="26">
        <f>Val!$D$11*((1-COS(Calc!D61))+1/Val!$D$18*(1-(1-(Val!$D$18*SIN(Calc!D61))^2)^0.5))+Val!$D$12*((1-COS(Calc!E61))+1/Val!$D$19*(1-(1-(Val!$D$19*SIN(Calc!E61))^2)^0.5))</f>
        <v>0.0003604457113949772</v>
      </c>
      <c r="H61" s="26">
        <f t="shared" si="22"/>
        <v>-5.4560989154533665E-05</v>
      </c>
      <c r="I61" s="22">
        <f>Val!$D$11*(1-COS(D61))+Val!$D$14+Val!$D$13+Val!$D$12*((1-COS(Calc!E61)))+Val!$D$15</f>
        <v>0.0010058847222404435</v>
      </c>
      <c r="J61" s="22">
        <f>Val!$D$11*((1-COS(Calc!$D61))+1/Val!$D$18*(1-(1-(Val!$D$18*SIN(Calc!$D61))^2)^0.5))+Val!$D$14+Val!$D$13+Val!$D$12*((1-COS(Calc!$E61))+1/Val!$D$19*(1-(1-(Val!$D$19*SIN(Calc!$E61))^2)^0.5))+Val!$D$15</f>
        <v>0.001060445711394977</v>
      </c>
      <c r="K61" s="44">
        <f t="shared" si="23"/>
        <v>-5.4560989154533394E-05</v>
      </c>
      <c r="L61" s="50">
        <f>Val!$D$42*Val!$D$22/Val!$D$37/(1-Val!$D$39*COS(D61-Val!$D$40))</f>
        <v>170968.7965857023</v>
      </c>
      <c r="M61" s="50">
        <f>Val!$D$42*Val!$D$22/(Val!$D$11*((1-COS(Calc!D61))+1/Val!$D$18*(1-(1-(Val!$D$18*SIN(Calc!D61))^2)^0.5))/Val!$D$25+Val!$D$14/Val!$D$25+Val!$D$13/Val!$D$27+Val!$D$12*((1-COS(Calc!E61))+1/Val!$D$19*(1-(1-(Val!$D$19*SIN(Calc!E61))^2)^0.5))/Val!$D$26+Val!$D$15/Val!$D$26)</f>
        <v>161876.42411102843</v>
      </c>
      <c r="N61" s="16">
        <f t="shared" si="8"/>
        <v>0.42156254387536773</v>
      </c>
      <c r="O61" s="16">
        <f t="shared" si="9"/>
        <v>0.4006441665404771</v>
      </c>
      <c r="P61" s="16">
        <f t="shared" si="10"/>
        <v>-2.4604362129595526E-06</v>
      </c>
      <c r="Q61" s="16">
        <f t="shared" si="11"/>
        <v>-2.4687178324866933E-06</v>
      </c>
      <c r="R61" s="13">
        <f t="shared" si="0"/>
        <v>0.4086269239474515</v>
      </c>
      <c r="S61" s="13">
        <f t="shared" si="1"/>
        <v>0.4307915802672021</v>
      </c>
      <c r="T61" s="13">
        <f t="shared" si="2"/>
        <v>1.0087830944473366</v>
      </c>
      <c r="U61" s="13">
        <f t="shared" si="3"/>
        <v>0.9551345233393831</v>
      </c>
      <c r="W61" s="387">
        <f>1*(M61-Val!$D$28)*PI()/4*Val!$D$2^2*(SIN(D61)+Val!$D$18/2*SIN(2*D61)/(1-Val!$D$18^2*SIN(D61)^2)^0.5)*Val!$D$4*(D61-D60)+1*(M61-Val!$D$28)*PI()/4*Val!$D$3^2*(SIN(E61)+Val!$D$19/2*SIN(2*E61)/(1-Val!$D$19^2*SIN(E61)^2)^0.5)*Val!$D$5*(E61-E60)</f>
        <v>0.14313225990960632</v>
      </c>
    </row>
    <row r="62" spans="2:23" ht="13.5">
      <c r="B62" s="32">
        <v>57</v>
      </c>
      <c r="C62" s="32">
        <f>B62-Data!$D$10</f>
        <v>-33</v>
      </c>
      <c r="D62" s="30">
        <f t="shared" si="20"/>
        <v>0.9948376736367679</v>
      </c>
      <c r="E62" s="30">
        <f t="shared" si="21"/>
        <v>-0.5759586531581288</v>
      </c>
      <c r="F62" s="26">
        <f>Val!$D$11*(1-COS(D62))+Val!$D$12*(1-COS(E62))</f>
        <v>0.0003083451584534031</v>
      </c>
      <c r="G62" s="26">
        <f>Val!$D$11*((1-COS(Calc!D62))+1/Val!$D$18*(1-(1-(Val!$D$18*SIN(Calc!D62))^2)^0.5))+Val!$D$12*((1-COS(Calc!E62))+1/Val!$D$19*(1-(1-(Val!$D$19*SIN(Calc!E62))^2)^0.5))</f>
        <v>0.0003629144292274639</v>
      </c>
      <c r="H62" s="26">
        <f t="shared" si="22"/>
        <v>-5.4569270774060805E-05</v>
      </c>
      <c r="I62" s="22">
        <f>Val!$D$11*(1-COS(D62))+Val!$D$14+Val!$D$13+Val!$D$12*((1-COS(Calc!E62)))+Val!$D$15</f>
        <v>0.0010083451584534029</v>
      </c>
      <c r="J62" s="22">
        <f>Val!$D$11*((1-COS(Calc!$D62))+1/Val!$D$18*(1-(1-(Val!$D$18*SIN(Calc!$D62))^2)^0.5))+Val!$D$14+Val!$D$13+Val!$D$12*((1-COS(Calc!$E62))+1/Val!$D$19*(1-(1-(Val!$D$19*SIN(Calc!$E62))^2)^0.5))+Val!$D$15</f>
        <v>0.0010629144292274638</v>
      </c>
      <c r="K62" s="44">
        <f t="shared" si="23"/>
        <v>-5.4569270774060914E-05</v>
      </c>
      <c r="L62" s="50">
        <f>Val!$D$42*Val!$D$22/Val!$D$37/(1-Val!$D$39*COS(D62-Val!$D$40))</f>
        <v>171704.2153419879</v>
      </c>
      <c r="M62" s="50">
        <f>Val!$D$42*Val!$D$22/(Val!$D$11*((1-COS(Calc!D62))+1/Val!$D$18*(1-(1-(Val!$D$18*SIN(Calc!D62))^2)^0.5))/Val!$D$25+Val!$D$14/Val!$D$25+Val!$D$13/Val!$D$27+Val!$D$12*((1-COS(Calc!E62))+1/Val!$D$19*(1-(1-(Val!$D$19*SIN(Calc!E62))^2)^0.5))/Val!$D$26+Val!$D$15/Val!$D$26)</f>
        <v>162700.2944335039</v>
      </c>
      <c r="N62" s="16">
        <f t="shared" si="8"/>
        <v>0.4595654450598714</v>
      </c>
      <c r="O62" s="16">
        <f t="shared" si="9"/>
        <v>0.4370774027834303</v>
      </c>
      <c r="P62" s="16">
        <f t="shared" si="10"/>
        <v>-2.6711209383246644E-06</v>
      </c>
      <c r="Q62" s="16">
        <f t="shared" si="11"/>
        <v>-2.679940342053904E-06</v>
      </c>
      <c r="R62" s="13">
        <f t="shared" si="0"/>
        <v>0.409626442539434</v>
      </c>
      <c r="S62" s="13">
        <f t="shared" si="1"/>
        <v>0.43179446315395714</v>
      </c>
      <c r="T62" s="13">
        <f t="shared" si="2"/>
        <v>1.0131223541455734</v>
      </c>
      <c r="U62" s="13">
        <f t="shared" si="3"/>
        <v>0.9599956820415999</v>
      </c>
      <c r="W62" s="387">
        <f>1*(M62-Val!$D$28)*PI()/4*Val!$D$2^2*(SIN(D62)+Val!$D$18/2*SIN(2*D62)/(1-Val!$D$18^2*SIN(D62)^2)^0.5)*Val!$D$4*(D62-D61)+1*(M62-Val!$D$28)*PI()/4*Val!$D$3^2*(SIN(E62)+Val!$D$19/2*SIN(2*E62)/(1-Val!$D$19^2*SIN(E62)^2)^0.5)*Val!$D$5*(E62-E61)</f>
        <v>0.15807298898233585</v>
      </c>
    </row>
    <row r="63" spans="2:23" ht="13.5">
      <c r="B63" s="32">
        <v>58</v>
      </c>
      <c r="C63" s="32">
        <f>B63-Data!$D$10</f>
        <v>-32</v>
      </c>
      <c r="D63" s="30">
        <f t="shared" si="20"/>
        <v>1.0122909661567112</v>
      </c>
      <c r="E63" s="30">
        <f t="shared" si="21"/>
        <v>-0.5585053606381855</v>
      </c>
      <c r="F63" s="26">
        <f>Val!$D$11*(1-COS(D63))+Val!$D$12*(1-COS(E63))</f>
        <v>0.00031101627939172775</v>
      </c>
      <c r="G63" s="26">
        <f>Val!$D$11*((1-COS(Calc!D63))+1/Val!$D$18*(1-(1-(Val!$D$18*SIN(Calc!D63))^2)^0.5))+Val!$D$12*((1-COS(Calc!E63))+1/Val!$D$19*(1-(1-(Val!$D$19*SIN(Calc!E63))^2)^0.5))</f>
        <v>0.0003655943695695178</v>
      </c>
      <c r="H63" s="26">
        <f t="shared" si="22"/>
        <v>-5.4578090177790045E-05</v>
      </c>
      <c r="I63" s="22">
        <f>Val!$D$11*(1-COS(D63))+Val!$D$14+Val!$D$13+Val!$D$12*((1-COS(Calc!E63)))+Val!$D$15</f>
        <v>0.0010110162793917279</v>
      </c>
      <c r="J63" s="22">
        <f>Val!$D$11*((1-COS(Calc!$D63))+1/Val!$D$18*(1-(1-(Val!$D$18*SIN(Calc!$D63))^2)^0.5))+Val!$D$14+Val!$D$13+Val!$D$12*((1-COS(Calc!$E63))+1/Val!$D$19*(1-(1-(Val!$D$19*SIN(Calc!$E63))^2)^0.5))+Val!$D$15</f>
        <v>0.0010655943695695178</v>
      </c>
      <c r="K63" s="44">
        <f t="shared" si="23"/>
        <v>-5.4578090177789937E-05</v>
      </c>
      <c r="L63" s="50">
        <f>Val!$D$42*Val!$D$22/Val!$D$37/(1-Val!$D$39*COS(D63-Val!$D$40))</f>
        <v>172395.10151489414</v>
      </c>
      <c r="M63" s="50">
        <f>Val!$D$42*Val!$D$22/(Val!$D$11*((1-COS(Calc!D63))+1/Val!$D$18*(1-(1-(Val!$D$18*SIN(Calc!D63))^2)^0.5))/Val!$D$25+Val!$D$14/Val!$D$25+Val!$D$13/Val!$D$27+Val!$D$12*((1-COS(Calc!E63))+1/Val!$D$19*(1-(1-(Val!$D$19*SIN(Calc!E63))^2)^0.5))/Val!$D$26+Val!$D$15/Val!$D$26)</f>
        <v>163484.13282761708</v>
      </c>
      <c r="N63" s="16">
        <f t="shared" si="8"/>
        <v>0.49759801231675066</v>
      </c>
      <c r="O63" s="16">
        <f t="shared" si="9"/>
        <v>0.47359171470942235</v>
      </c>
      <c r="P63" s="16">
        <f t="shared" si="10"/>
        <v>-2.8809920143761073E-06</v>
      </c>
      <c r="Q63" s="16">
        <f t="shared" si="11"/>
        <v>-2.8903062500178255E-06</v>
      </c>
      <c r="R63" s="13">
        <f t="shared" si="0"/>
        <v>0.4107115489222889</v>
      </c>
      <c r="S63" s="13">
        <f t="shared" si="1"/>
        <v>0.4328831522990682</v>
      </c>
      <c r="T63" s="13">
        <f t="shared" si="2"/>
        <v>1.017198854099563</v>
      </c>
      <c r="U63" s="13">
        <f t="shared" si="3"/>
        <v>0.9646206366330289</v>
      </c>
      <c r="W63" s="387">
        <f>1*(M63-Val!$D$28)*PI()/4*Val!$D$2^2*(SIN(D63)+Val!$D$18/2*SIN(2*D63)/(1-Val!$D$18^2*SIN(D63)^2)^0.5)*Val!$D$4*(D63-D62)+1*(M63-Val!$D$28)*PI()/4*Val!$D$3^2*(SIN(E63)+Val!$D$19/2*SIN(2*E63)/(1-Val!$D$19^2*SIN(E63)^2)^0.5)*Val!$D$5*(E63-E62)</f>
        <v>0.17319969957457138</v>
      </c>
    </row>
    <row r="64" spans="2:23" ht="13.5">
      <c r="B64" s="32">
        <v>59</v>
      </c>
      <c r="C64" s="32">
        <f>B64-Data!$D$10</f>
        <v>-31</v>
      </c>
      <c r="D64" s="30">
        <f t="shared" si="20"/>
        <v>1.0297442586766545</v>
      </c>
      <c r="E64" s="30">
        <f t="shared" si="21"/>
        <v>-0.5410520681182421</v>
      </c>
      <c r="F64" s="26">
        <f>Val!$D$11*(1-COS(D64))+Val!$D$12*(1-COS(E64))</f>
        <v>0.00031389727140610386</v>
      </c>
      <c r="G64" s="26">
        <f>Val!$D$11*((1-COS(Calc!D64))+1/Val!$D$18*(1-(1-(Val!$D$18*SIN(Calc!D64))^2)^0.5))+Val!$D$12*((1-COS(Calc!E64))+1/Val!$D$19*(1-(1-(Val!$D$19*SIN(Calc!E64))^2)^0.5))</f>
        <v>0.0003684846758195356</v>
      </c>
      <c r="H64" s="26">
        <f t="shared" si="22"/>
        <v>-5.458740441343176E-05</v>
      </c>
      <c r="I64" s="22">
        <f>Val!$D$11*(1-COS(D64))+Val!$D$14+Val!$D$13+Val!$D$12*((1-COS(Calc!E64)))+Val!$D$15</f>
        <v>0.0010138972714061037</v>
      </c>
      <c r="J64" s="22">
        <f>Val!$D$11*((1-COS(Calc!$D64))+1/Val!$D$18*(1-(1-(Val!$D$18*SIN(Calc!$D64))^2)^0.5))+Val!$D$14+Val!$D$13+Val!$D$12*((1-COS(Calc!$E64))+1/Val!$D$19*(1-(1-(Val!$D$19*SIN(Calc!$E64))^2)^0.5))+Val!$D$15</f>
        <v>0.0010684846758195355</v>
      </c>
      <c r="K64" s="44">
        <f t="shared" si="23"/>
        <v>-5.458740441343182E-05</v>
      </c>
      <c r="L64" s="50">
        <f>Val!$D$42*Val!$D$22/Val!$D$37/(1-Val!$D$39*COS(D64-Val!$D$40))</f>
        <v>173040.08874859204</v>
      </c>
      <c r="M64" s="50">
        <f>Val!$D$42*Val!$D$22/(Val!$D$11*((1-COS(Calc!D64))+1/Val!$D$18*(1-(1-(Val!$D$18*SIN(Calc!D64))^2)^0.5))/Val!$D$25+Val!$D$14/Val!$D$25+Val!$D$13/Val!$D$27+Val!$D$12*((1-COS(Calc!E64))+1/Val!$D$19*(1-(1-(Val!$D$19*SIN(Calc!E64))^2)^0.5))/Val!$D$26+Val!$D$15/Val!$D$26)</f>
        <v>164226.2713598418</v>
      </c>
      <c r="N64" s="16">
        <f t="shared" si="8"/>
        <v>0.5356149566759701</v>
      </c>
      <c r="O64" s="16">
        <f t="shared" si="9"/>
        <v>0.5101433481169516</v>
      </c>
      <c r="P64" s="16">
        <f t="shared" si="10"/>
        <v>-3.0899855123510986E-06</v>
      </c>
      <c r="Q64" s="16">
        <f t="shared" si="11"/>
        <v>-3.099749216332751E-06</v>
      </c>
      <c r="R64" s="13">
        <f t="shared" si="0"/>
        <v>0.4118819125620999</v>
      </c>
      <c r="S64" s="13">
        <f t="shared" si="1"/>
        <v>0.4340572997198385</v>
      </c>
      <c r="T64" s="13">
        <f t="shared" si="2"/>
        <v>1.021004532272905</v>
      </c>
      <c r="U64" s="13">
        <f t="shared" si="3"/>
        <v>0.96899954565033</v>
      </c>
      <c r="W64" s="387">
        <f>1*(M64-Val!$D$28)*PI()/4*Val!$D$2^2*(SIN(D64)+Val!$D$18/2*SIN(2*D64)/(1-Val!$D$18^2*SIN(D64)^2)^0.5)*Val!$D$4*(D64-D63)+1*(M64-Val!$D$28)*PI()/4*Val!$D$3^2*(SIN(E64)+Val!$D$19/2*SIN(2*E64)/(1-Val!$D$19^2*SIN(E64)^2)^0.5)*Val!$D$5*(E64-E63)</f>
        <v>0.1884759537883473</v>
      </c>
    </row>
    <row r="65" spans="2:23" ht="13.5">
      <c r="B65" s="32">
        <v>60</v>
      </c>
      <c r="C65" s="32">
        <f>B65-Data!$D$10</f>
        <v>-30</v>
      </c>
      <c r="D65" s="30">
        <f t="shared" si="20"/>
        <v>1.0471975511965976</v>
      </c>
      <c r="E65" s="30">
        <f t="shared" si="21"/>
        <v>-0.5235987755982988</v>
      </c>
      <c r="F65" s="26">
        <f>Val!$D$11*(1-COS(D65))+Val!$D$12*(1-COS(E65))</f>
        <v>0.00031698725691845495</v>
      </c>
      <c r="G65" s="26">
        <f>Val!$D$11*((1-COS(Calc!D65))+1/Val!$D$18*(1-(1-(Val!$D$18*SIN(Calc!D65))^2)^0.5))+Val!$D$12*((1-COS(Calc!E65))+1/Val!$D$19*(1-(1-(Val!$D$19*SIN(Calc!E65))^2)^0.5))</f>
        <v>0.00037158442503586837</v>
      </c>
      <c r="H65" s="26">
        <f t="shared" si="22"/>
        <v>-5.4597168117413416E-05</v>
      </c>
      <c r="I65" s="22">
        <f>Val!$D$11*(1-COS(D65))+Val!$D$14+Val!$D$13+Val!$D$12*((1-COS(Calc!E65)))+Val!$D$15</f>
        <v>0.0010169872569184548</v>
      </c>
      <c r="J65" s="22">
        <f>Val!$D$11*((1-COS(Calc!$D65))+1/Val!$D$18*(1-(1-(Val!$D$18*SIN(Calc!$D65))^2)^0.5))+Val!$D$14+Val!$D$13+Val!$D$12*((1-COS(Calc!$E65))+1/Val!$D$19*(1-(1-(Val!$D$19*SIN(Calc!$E65))^2)^0.5))+Val!$D$15</f>
        <v>0.0010715844250358685</v>
      </c>
      <c r="K65" s="44">
        <f t="shared" si="23"/>
        <v>-5.459716811741363E-05</v>
      </c>
      <c r="L65" s="50">
        <f>Val!$D$42*Val!$D$22/Val!$D$37/(1-Val!$D$39*COS(D65-Val!$D$40))</f>
        <v>173637.8840347973</v>
      </c>
      <c r="M65" s="50">
        <f>Val!$D$42*Val!$D$22/(Val!$D$11*((1-COS(Calc!D65))+1/Val!$D$18*(1-(1-(Val!$D$18*SIN(Calc!D65))^2)^0.5))/Val!$D$25+Val!$D$14/Val!$D$25+Val!$D$13/Val!$D$27+Val!$D$12*((1-COS(Calc!E65))+1/Val!$D$19*(1-(1-(Val!$D$19*SIN(Calc!E65))^2)^0.5))/Val!$D$26+Val!$D$15/Val!$D$26)</f>
        <v>164925.0970340542</v>
      </c>
      <c r="N65" s="16">
        <f t="shared" si="8"/>
        <v>0.5735702541875983</v>
      </c>
      <c r="O65" s="16">
        <f t="shared" si="9"/>
        <v>0.5466874854871786</v>
      </c>
      <c r="P65" s="16">
        <f t="shared" si="10"/>
        <v>-3.2980377708059E-06</v>
      </c>
      <c r="Q65" s="16">
        <f t="shared" si="11"/>
        <v>-3.308203388997582E-06</v>
      </c>
      <c r="R65" s="13">
        <f t="shared" si="0"/>
        <v>0.413137176954765</v>
      </c>
      <c r="S65" s="13">
        <f t="shared" si="1"/>
        <v>0.4353165304838344</v>
      </c>
      <c r="T65" s="13">
        <f t="shared" si="2"/>
        <v>1.0245317594085412</v>
      </c>
      <c r="U65" s="13">
        <f t="shared" si="3"/>
        <v>0.9731228917824287</v>
      </c>
      <c r="W65" s="387">
        <f>1*(M65-Val!$D$28)*PI()/4*Val!$D$2^2*(SIN(D65)+Val!$D$18/2*SIN(2*D65)/(1-Val!$D$18^2*SIN(D65)^2)^0.5)*Val!$D$4*(D65-D64)+1*(M65-Val!$D$28)*PI()/4*Val!$D$3^2*(SIN(E65)+Val!$D$19/2*SIN(2*E65)/(1-Val!$D$19^2*SIN(E65)^2)^0.5)*Val!$D$5*(E65-E64)</f>
        <v>0.20386413603676184</v>
      </c>
    </row>
    <row r="66" spans="2:23" ht="13.5">
      <c r="B66" s="32">
        <v>61</v>
      </c>
      <c r="C66" s="32">
        <f>B66-Data!$D$10</f>
        <v>-29</v>
      </c>
      <c r="D66" s="30">
        <f t="shared" si="20"/>
        <v>1.064650843716541</v>
      </c>
      <c r="E66" s="30">
        <f t="shared" si="21"/>
        <v>-0.5061454830783556</v>
      </c>
      <c r="F66" s="26">
        <f>Val!$D$11*(1-COS(D66))+Val!$D$12*(1-COS(E66))</f>
        <v>0.00032028529468926085</v>
      </c>
      <c r="G66" s="26">
        <f>Val!$D$11*((1-COS(Calc!D66))+1/Val!$D$18*(1-(1-(Val!$D$18*SIN(Calc!D66))^2)^0.5))+Val!$D$12*((1-COS(Calc!E66))+1/Val!$D$19*(1-(1-(Val!$D$19*SIN(Calc!E66))^2)^0.5))</f>
        <v>0.00037489262842486595</v>
      </c>
      <c r="H66" s="26">
        <f t="shared" si="22"/>
        <v>-5.46073337356051E-05</v>
      </c>
      <c r="I66" s="22">
        <f>Val!$D$11*(1-COS(D66))+Val!$D$14+Val!$D$13+Val!$D$12*((1-COS(Calc!E66)))+Val!$D$15</f>
        <v>0.0010202852946892607</v>
      </c>
      <c r="J66" s="22">
        <f>Val!$D$11*((1-COS(Calc!$D66))+1/Val!$D$18*(1-(1-(Val!$D$18*SIN(Calc!$D66))^2)^0.5))+Val!$D$14+Val!$D$13+Val!$D$12*((1-COS(Calc!$E66))+1/Val!$D$19*(1-(1-(Val!$D$19*SIN(Calc!$E66))^2)^0.5))+Val!$D$15</f>
        <v>0.001074892628424866</v>
      </c>
      <c r="K66" s="44">
        <f t="shared" si="23"/>
        <v>-5.460733373560526E-05</v>
      </c>
      <c r="L66" s="50">
        <f>Val!$D$42*Val!$D$22/Val!$D$37/(1-Val!$D$39*COS(D66-Val!$D$40))</f>
        <v>174187.273860494</v>
      </c>
      <c r="M66" s="50">
        <f>Val!$D$42*Val!$D$22/(Val!$D$11*((1-COS(Calc!D66))+1/Val!$D$18*(1-(1-(Val!$D$18*SIN(Calc!D66))^2)^0.5))/Val!$D$25+Val!$D$14/Val!$D$25+Val!$D$13/Val!$D$27+Val!$D$12*((1-COS(Calc!E66))+1/Val!$D$19*(1-(1-(Val!$D$19*SIN(Calc!E66))^2)^0.5))/Val!$D$26+Val!$D$15/Val!$D$26)</f>
        <v>165579.05957576007</v>
      </c>
      <c r="N66" s="16">
        <f t="shared" si="8"/>
        <v>0.6114172924765815</v>
      </c>
      <c r="O66" s="16">
        <f t="shared" si="9"/>
        <v>0.5831783851582008</v>
      </c>
      <c r="P66" s="16">
        <f t="shared" si="10"/>
        <v>-3.505085415006666E-06</v>
      </c>
      <c r="Q66" s="16">
        <f t="shared" si="11"/>
        <v>-3.5156034341331157E-06</v>
      </c>
      <c r="R66" s="13">
        <f t="shared" si="0"/>
        <v>0.4144769597345901</v>
      </c>
      <c r="S66" s="13">
        <f t="shared" si="1"/>
        <v>0.43666044290714634</v>
      </c>
      <c r="T66" s="13">
        <f t="shared" si="2"/>
        <v>1.0277733753027398</v>
      </c>
      <c r="U66" s="13">
        <f t="shared" si="3"/>
        <v>0.9769815278005164</v>
      </c>
      <c r="W66" s="387">
        <f>1*(M66-Val!$D$28)*PI()/4*Val!$D$2^2*(SIN(D66)+Val!$D$18/2*SIN(2*D66)/(1-Val!$D$18^2*SIN(D66)^2)^0.5)*Val!$D$4*(D66-D65)+1*(M66-Val!$D$28)*PI()/4*Val!$D$3^2*(SIN(E66)+Val!$D$19/2*SIN(2*E66)/(1-Val!$D$19^2*SIN(E66)^2)^0.5)*Val!$D$5*(E66-E65)</f>
        <v>0.2193255839519428</v>
      </c>
    </row>
    <row r="67" spans="2:23" ht="13.5">
      <c r="B67" s="32">
        <v>62</v>
      </c>
      <c r="C67" s="32">
        <f>B67-Data!$D$10</f>
        <v>-28</v>
      </c>
      <c r="D67" s="30">
        <f t="shared" si="20"/>
        <v>1.0821041362364843</v>
      </c>
      <c r="E67" s="30">
        <f t="shared" si="21"/>
        <v>-0.4886921905584123</v>
      </c>
      <c r="F67" s="26">
        <f>Val!$D$11*(1-COS(D67))+Val!$D$12*(1-COS(E67))</f>
        <v>0.0003237903801042675</v>
      </c>
      <c r="G67" s="26">
        <f>Val!$D$11*((1-COS(Calc!D67))+1/Val!$D$18*(1-(1-(Val!$D$18*SIN(Calc!D67))^2)^0.5))+Val!$D$12*((1-COS(Calc!E67))+1/Val!$D$19*(1-(1-(Val!$D$19*SIN(Calc!E67))^2)^0.5))</f>
        <v>0.00037840823185899907</v>
      </c>
      <c r="H67" s="26">
        <f t="shared" si="22"/>
        <v>-5.461785175473155E-05</v>
      </c>
      <c r="I67" s="22">
        <f>Val!$D$11*(1-COS(D67))+Val!$D$14+Val!$D$13+Val!$D$12*((1-COS(Calc!E67)))+Val!$D$15</f>
        <v>0.0010237903801042674</v>
      </c>
      <c r="J67" s="22">
        <f>Val!$D$11*((1-COS(Calc!$D67))+1/Val!$D$18*(1-(1-(Val!$D$18*SIN(Calc!$D67))^2)^0.5))+Val!$D$14+Val!$D$13+Val!$D$12*((1-COS(Calc!$E67))+1/Val!$D$19*(1-(1-(Val!$D$19*SIN(Calc!$E67))^2)^0.5))+Val!$D$15</f>
        <v>0.0010784082318589991</v>
      </c>
      <c r="K67" s="44">
        <f t="shared" si="23"/>
        <v>-5.461785175473171E-05</v>
      </c>
      <c r="L67" s="50">
        <f>Val!$D$42*Val!$D$22/Val!$D$37/(1-Val!$D$39*COS(D67-Val!$D$40))</f>
        <v>174687.13008918473</v>
      </c>
      <c r="M67" s="50">
        <f>Val!$D$42*Val!$D$22/(Val!$D$11*((1-COS(Calc!D67))+1/Val!$D$18*(1-(1-(Val!$D$18*SIN(Calc!D67))^2)^0.5))/Val!$D$25+Val!$D$14/Val!$D$25+Val!$D$13/Val!$D$27+Val!$D$12*((1-COS(Calc!E67))+1/Val!$D$19*(1-(1-(Val!$D$19*SIN(Calc!E67))^2)^0.5))/Val!$D$26+Val!$D$15/Val!$D$26)</f>
        <v>166186.67912849857</v>
      </c>
      <c r="N67" s="16">
        <f t="shared" si="8"/>
        <v>0.6491090239592543</v>
      </c>
      <c r="O67" s="16">
        <f t="shared" si="9"/>
        <v>0.6195695303765083</v>
      </c>
      <c r="P67" s="16">
        <f t="shared" si="10"/>
        <v>-3.7110653762357755E-06</v>
      </c>
      <c r="Q67" s="16">
        <f t="shared" si="11"/>
        <v>-3.7218845648560287E-06</v>
      </c>
      <c r="R67" s="13">
        <f t="shared" si="0"/>
        <v>0.41590085279076167</v>
      </c>
      <c r="S67" s="13">
        <f t="shared" si="1"/>
        <v>0.43808860876486927</v>
      </c>
      <c r="T67" s="13">
        <f t="shared" si="2"/>
        <v>1.0307227235067828</v>
      </c>
      <c r="U67" s="13">
        <f t="shared" si="3"/>
        <v>0.9805667219698571</v>
      </c>
      <c r="W67" s="387">
        <f>1*(M67-Val!$D$28)*PI()/4*Val!$D$2^2*(SIN(D67)+Val!$D$18/2*SIN(2*D67)/(1-Val!$D$18^2*SIN(D67)^2)^0.5)*Val!$D$4*(D67-D66)+1*(M67-Val!$D$28)*PI()/4*Val!$D$3^2*(SIN(E67)+Val!$D$19/2*SIN(2*E67)/(1-Val!$D$19^2*SIN(E67)^2)^0.5)*Val!$D$5*(E67-E66)</f>
        <v>0.23482072966546036</v>
      </c>
    </row>
    <row r="68" spans="2:23" ht="13.5">
      <c r="B68" s="32">
        <v>63</v>
      </c>
      <c r="C68" s="32">
        <f>B68-Data!$D$10</f>
        <v>-27</v>
      </c>
      <c r="D68" s="30">
        <f t="shared" si="20"/>
        <v>1.0995574287564276</v>
      </c>
      <c r="E68" s="30">
        <f t="shared" si="21"/>
        <v>-0.47123889803846897</v>
      </c>
      <c r="F68" s="26">
        <f>Val!$D$11*(1-COS(D68))+Val!$D$12*(1-COS(E68))</f>
        <v>0.0003275014454805033</v>
      </c>
      <c r="G68" s="26">
        <f>Val!$D$11*((1-COS(Calc!D68))+1/Val!$D$18*(1-(1-(Val!$D$18*SIN(Calc!D68))^2)^0.5))+Val!$D$12*((1-COS(Calc!E68))+1/Val!$D$19*(1-(1-(Val!$D$19*SIN(Calc!E68))^2)^0.5))</f>
        <v>0.0003821301164238551</v>
      </c>
      <c r="H68" s="26">
        <f t="shared" si="22"/>
        <v>-5.46286709433518E-05</v>
      </c>
      <c r="I68" s="22">
        <f>Val!$D$11*(1-COS(D68))+Val!$D$14+Val!$D$13+Val!$D$12*((1-COS(Calc!E68)))+Val!$D$15</f>
        <v>0.0010275014454805033</v>
      </c>
      <c r="J68" s="22">
        <f>Val!$D$11*((1-COS(Calc!$D68))+1/Val!$D$18*(1-(1-(Val!$D$18*SIN(Calc!$D68))^2)^0.5))+Val!$D$14+Val!$D$13+Val!$D$12*((1-COS(Calc!$E68))+1/Val!$D$19*(1-(1-(Val!$D$19*SIN(Calc!$E68))^2)^0.5))+Val!$D$15</f>
        <v>0.001082130116423855</v>
      </c>
      <c r="K68" s="44">
        <f t="shared" si="23"/>
        <v>-5.46286709433518E-05</v>
      </c>
      <c r="L68" s="50">
        <f>Val!$D$42*Val!$D$22/Val!$D$37/(1-Val!$D$39*COS(D68-Val!$D$40))</f>
        <v>175136.4155243622</v>
      </c>
      <c r="M68" s="50">
        <f>Val!$D$42*Val!$D$22/(Val!$D$11*((1-COS(Calc!D68))+1/Val!$D$18*(1-(1-(Val!$D$18*SIN(Calc!D68))^2)^0.5))/Val!$D$25+Val!$D$14/Val!$D$25+Val!$D$13/Val!$D$27+Val!$D$12*((1-COS(Calc!E68))+1/Val!$D$19*(1-(1-(Val!$D$19*SIN(Calc!E68))^2)^0.5))/Val!$D$26+Val!$D$15/Val!$D$26)</f>
        <v>166746.55379700122</v>
      </c>
      <c r="N68" s="16">
        <f t="shared" si="8"/>
        <v>0.6865981247598774</v>
      </c>
      <c r="O68" s="16">
        <f t="shared" si="9"/>
        <v>0.6558137873963211</v>
      </c>
      <c r="P68" s="16">
        <f t="shared" si="10"/>
        <v>-3.915914911001132E-06</v>
      </c>
      <c r="Q68" s="16">
        <f t="shared" si="11"/>
        <v>-3.926982568883694E-06</v>
      </c>
      <c r="R68" s="13">
        <f t="shared" si="0"/>
        <v>0.4174084223916614</v>
      </c>
      <c r="S68" s="13">
        <f t="shared" si="1"/>
        <v>0.43960057351331194</v>
      </c>
      <c r="T68" s="13">
        <f t="shared" si="2"/>
        <v>1.0333736841536354</v>
      </c>
      <c r="U68" s="13">
        <f t="shared" si="3"/>
        <v>0.9838702025573902</v>
      </c>
      <c r="W68" s="387">
        <f>1*(M68-Val!$D$28)*PI()/4*Val!$D$2^2*(SIN(D68)+Val!$D$18/2*SIN(2*D68)/(1-Val!$D$18^2*SIN(D68)^2)^0.5)*Val!$D$4*(D68-D67)+1*(M68-Val!$D$28)*PI()/4*Val!$D$3^2*(SIN(E68)+Val!$D$19/2*SIN(2*E68)/(1-Val!$D$19^2*SIN(E68)^2)^0.5)*Val!$D$5*(E68-E67)</f>
        <v>0.25030925070559357</v>
      </c>
    </row>
    <row r="69" spans="2:23" ht="13.5">
      <c r="B69" s="32">
        <v>64</v>
      </c>
      <c r="C69" s="32">
        <f>B69-Data!$D$10</f>
        <v>-26</v>
      </c>
      <c r="D69" s="30">
        <f t="shared" si="20"/>
        <v>1.117010721276371</v>
      </c>
      <c r="E69" s="30">
        <f t="shared" si="21"/>
        <v>-0.4537856055185257</v>
      </c>
      <c r="F69" s="26">
        <f>Val!$D$11*(1-COS(D69))+Val!$D$12*(1-COS(E69))</f>
        <v>0.00033141736039150443</v>
      </c>
      <c r="G69" s="26">
        <f>Val!$D$11*((1-COS(Calc!D69))+1/Val!$D$18*(1-(1-(Val!$D$18*SIN(Calc!D69))^2)^0.5))+Val!$D$12*((1-COS(Calc!E69))+1/Val!$D$19*(1-(1-(Val!$D$19*SIN(Calc!E69))^2)^0.5))</f>
        <v>0.0003860570989927388</v>
      </c>
      <c r="H69" s="26">
        <f t="shared" si="22"/>
        <v>-5.463973860123436E-05</v>
      </c>
      <c r="I69" s="22">
        <f>Val!$D$11*(1-COS(D69))+Val!$D$14+Val!$D$13+Val!$D$12*((1-COS(Calc!E69)))+Val!$D$15</f>
        <v>0.0010314173603915044</v>
      </c>
      <c r="J69" s="22">
        <f>Val!$D$11*((1-COS(Calc!$D69))+1/Val!$D$18*(1-(1-(Val!$D$18*SIN(Calc!$D69))^2)^0.5))+Val!$D$14+Val!$D$13+Val!$D$12*((1-COS(Calc!$E69))+1/Val!$D$19*(1-(1-(Val!$D$19*SIN(Calc!$E69))^2)^0.5))+Val!$D$15</f>
        <v>0.0010860570989927386</v>
      </c>
      <c r="K69" s="44">
        <f t="shared" si="23"/>
        <v>-5.46397386012342E-05</v>
      </c>
      <c r="L69" s="50">
        <f>Val!$D$42*Val!$D$22/Val!$D$37/(1-Val!$D$39*COS(D69-Val!$D$40))</f>
        <v>175534.18910547797</v>
      </c>
      <c r="M69" s="50">
        <f>Val!$D$42*Val!$D$22/(Val!$D$11*((1-COS(Calc!D69))+1/Val!$D$18*(1-(1-(Val!$D$18*SIN(Calc!D69))^2)^0.5))/Val!$D$25+Val!$D$14/Val!$D$25+Val!$D$13/Val!$D$27+Val!$D$12*((1-COS(Calc!E69))+1/Val!$D$19*(1-(1-(Val!$D$19*SIN(Calc!E69))^2)^0.5))/Val!$D$26+Val!$D$15/Val!$D$26)</f>
        <v>167257.3669704814</v>
      </c>
      <c r="N69" s="16">
        <f t="shared" si="8"/>
        <v>0.7238371582811794</v>
      </c>
      <c r="O69" s="16">
        <f t="shared" si="9"/>
        <v>0.6918635716660224</v>
      </c>
      <c r="P69" s="16">
        <f t="shared" si="10"/>
        <v>-4.119571620150376E-06</v>
      </c>
      <c r="Q69" s="16">
        <f t="shared" si="11"/>
        <v>-4.130833834832157E-06</v>
      </c>
      <c r="R69" s="13">
        <f aca="true" t="shared" si="24" ref="R69:R132">I69/$J$366</f>
        <v>0.4189992093169845</v>
      </c>
      <c r="S69" s="13">
        <f aca="true" t="shared" si="25" ref="S69:S132">J69/$J$366</f>
        <v>0.44119585652342064</v>
      </c>
      <c r="T69" s="13">
        <f aca="true" t="shared" si="26" ref="T69:T132">L69/$M$366</f>
        <v>1.0357207046162038</v>
      </c>
      <c r="U69" s="13">
        <f aca="true" t="shared" si="27" ref="U69:U132">M69/$M$366</f>
        <v>0.9868842010420172</v>
      </c>
      <c r="W69" s="387">
        <f>1*(M69-Val!$D$28)*PI()/4*Val!$D$2^2*(SIN(D69)+Val!$D$18/2*SIN(2*D69)/(1-Val!$D$18^2*SIN(D69)^2)^0.5)*Val!$D$4*(D69-D68)+1*(M69-Val!$D$28)*PI()/4*Val!$D$3^2*(SIN(E69)+Val!$D$19/2*SIN(2*E69)/(1-Val!$D$19^2*SIN(E69)^2)^0.5)*Val!$D$5*(E69-E68)</f>
        <v>0.2657502296197188</v>
      </c>
    </row>
    <row r="70" spans="2:23" ht="13.5">
      <c r="B70" s="32">
        <v>65</v>
      </c>
      <c r="C70" s="32">
        <f>B70-Data!$D$10</f>
        <v>-25</v>
      </c>
      <c r="D70" s="30">
        <f t="shared" si="20"/>
        <v>1.1344640137963142</v>
      </c>
      <c r="E70" s="30">
        <f t="shared" si="21"/>
        <v>-0.4363323129985824</v>
      </c>
      <c r="F70" s="26">
        <f>Val!$D$11*(1-COS(D70))+Val!$D$12*(1-COS(E70))</f>
        <v>0.0003355369320116548</v>
      </c>
      <c r="G70" s="26">
        <f>Val!$D$11*((1-COS(Calc!D70))+1/Val!$D$18*(1-(1-(Val!$D$18*SIN(Calc!D70))^2)^0.5))+Val!$D$12*((1-COS(Calc!E70))+1/Val!$D$19*(1-(1-(Val!$D$19*SIN(Calc!E70))^2)^0.5))</f>
        <v>0.00039018793282757095</v>
      </c>
      <c r="H70" s="26">
        <f t="shared" si="22"/>
        <v>-5.4651000815916144E-05</v>
      </c>
      <c r="I70" s="22">
        <f>Val!$D$11*(1-COS(D70))+Val!$D$14+Val!$D$13+Val!$D$12*((1-COS(Calc!E70)))+Val!$D$15</f>
        <v>0.0010355369320116548</v>
      </c>
      <c r="J70" s="22">
        <f>Val!$D$11*((1-COS(Calc!$D70))+1/Val!$D$18*(1-(1-(Val!$D$18*SIN(Calc!$D70))^2)^0.5))+Val!$D$14+Val!$D$13+Val!$D$12*((1-COS(Calc!$E70))+1/Val!$D$19*(1-(1-(Val!$D$19*SIN(Calc!$E70))^2)^0.5))+Val!$D$15</f>
        <v>0.001090187932827571</v>
      </c>
      <c r="K70" s="44">
        <f t="shared" si="23"/>
        <v>-5.465100081591631E-05</v>
      </c>
      <c r="L70" s="50">
        <f>Val!$D$42*Val!$D$22/Val!$D$37/(1-Val!$D$39*COS(D70-Val!$D$40))</f>
        <v>175879.61068895203</v>
      </c>
      <c r="M70" s="50">
        <f>Val!$D$42*Val!$D$22/(Val!$D$11*((1-COS(Calc!D70))+1/Val!$D$18*(1-(1-(Val!$D$18*SIN(Calc!D70))^2)^0.5))/Val!$D$25+Val!$D$14/Val!$D$25+Val!$D$13/Val!$D$27+Val!$D$12*((1-COS(Calc!E70))+1/Val!$D$19*(1-(1-(Val!$D$19*SIN(Calc!E70))^2)^0.5))/Val!$D$26+Val!$D$15/Val!$D$26)</f>
        <v>167717.8943590852</v>
      </c>
      <c r="N70" s="16">
        <f t="shared" si="8"/>
        <v>0.7607787423051676</v>
      </c>
      <c r="O70" s="16">
        <f t="shared" si="9"/>
        <v>0.7276710210147188</v>
      </c>
      <c r="P70" s="16">
        <f t="shared" si="10"/>
        <v>-4.3219734678769475E-06</v>
      </c>
      <c r="Q70" s="16">
        <f t="shared" si="11"/>
        <v>-4.333375377163083E-06</v>
      </c>
      <c r="R70" s="13">
        <f t="shared" si="24"/>
        <v>0.4206727289976233</v>
      </c>
      <c r="S70" s="13">
        <f t="shared" si="25"/>
        <v>0.44287395132488655</v>
      </c>
      <c r="T70" s="13">
        <f t="shared" si="26"/>
        <v>1.037758827717171</v>
      </c>
      <c r="U70" s="13">
        <f t="shared" si="27"/>
        <v>0.9896014936324264</v>
      </c>
      <c r="W70" s="387">
        <f>1*(M70-Val!$D$28)*PI()/4*Val!$D$2^2*(SIN(D70)+Val!$D$18/2*SIN(2*D70)/(1-Val!$D$18^2*SIN(D70)^2)^0.5)*Val!$D$4*(D70-D69)+1*(M70-Val!$D$28)*PI()/4*Val!$D$3^2*(SIN(E70)+Val!$D$19/2*SIN(2*E70)/(1-Val!$D$19^2*SIN(E70)^2)^0.5)*Val!$D$5*(E70-E69)</f>
        <v>0.2811023213010445</v>
      </c>
    </row>
    <row r="71" spans="2:23" ht="13.5">
      <c r="B71" s="32">
        <v>66</v>
      </c>
      <c r="C71" s="32">
        <f>B71-Data!$D$10</f>
        <v>-24</v>
      </c>
      <c r="D71" s="30">
        <f t="shared" si="20"/>
        <v>1.1519173063162575</v>
      </c>
      <c r="E71" s="30">
        <f t="shared" si="21"/>
        <v>-0.4188790204786391</v>
      </c>
      <c r="F71" s="26">
        <f>Val!$D$11*(1-COS(D71))+Val!$D$12*(1-COS(E71))</f>
        <v>0.00033985890547953175</v>
      </c>
      <c r="G71" s="26">
        <f>Val!$D$11*((1-COS(Calc!D71))+1/Val!$D$18*(1-(1-(Val!$D$18*SIN(Calc!D71))^2)^0.5))+Val!$D$12*((1-COS(Calc!E71))+1/Val!$D$19*(1-(1-(Val!$D$19*SIN(Calc!E71))^2)^0.5))</f>
        <v>0.00039452130820473403</v>
      </c>
      <c r="H71" s="26">
        <f t="shared" si="22"/>
        <v>-5.466240272520228E-05</v>
      </c>
      <c r="I71" s="22">
        <f>Val!$D$11*(1-COS(D71))+Val!$D$14+Val!$D$13+Val!$D$12*((1-COS(Calc!E71)))+Val!$D$15</f>
        <v>0.0010398589054795317</v>
      </c>
      <c r="J71" s="22">
        <f>Val!$D$11*((1-COS(Calc!$D71))+1/Val!$D$18*(1-(1-(Val!$D$18*SIN(Calc!$D71))^2)^0.5))+Val!$D$14+Val!$D$13+Val!$D$12*((1-COS(Calc!$E71))+1/Val!$D$19*(1-(1-(Val!$D$19*SIN(Calc!$E71))^2)^0.5))+Val!$D$15</f>
        <v>0.0010945213082047339</v>
      </c>
      <c r="K71" s="44">
        <f t="shared" si="23"/>
        <v>-5.466240272520217E-05</v>
      </c>
      <c r="L71" s="50">
        <f>Val!$D$42*Val!$D$22/Val!$D$37/(1-Val!$D$39*COS(D71-Val!$D$40))</f>
        <v>176171.9453697154</v>
      </c>
      <c r="M71" s="50">
        <f>Val!$D$42*Val!$D$22/(Val!$D$11*((1-COS(Calc!D71))+1/Val!$D$18*(1-(1-(Val!$D$18*SIN(Calc!D71))^2)^0.5))/Val!$D$25+Val!$D$14/Val!$D$25+Val!$D$13/Val!$D$27+Val!$D$12*((1-COS(Calc!E71))+1/Val!$D$19*(1-(1-(Val!$D$19*SIN(Calc!E71))^2)^0.5))/Val!$D$26+Val!$D$15/Val!$D$26)</f>
        <v>168127.0106771157</v>
      </c>
      <c r="N71" s="16">
        <f aca="true" t="shared" si="28" ref="N71:N134">(L71+L72)/2*(I72-I71)</f>
        <v>0.7973757184426011</v>
      </c>
      <c r="O71" s="16">
        <f aca="true" t="shared" si="29" ref="O71:O134">(M71+M72)/2*(J72-J71)</f>
        <v>0.7631881746403697</v>
      </c>
      <c r="P71" s="16">
        <f aca="true" t="shared" si="30" ref="P71:P134">F71-F72</f>
        <v>-4.523058800617137E-06</v>
      </c>
      <c r="Q71" s="16">
        <f aca="true" t="shared" si="31" ref="Q71:Q134">G71-G72</f>
        <v>-4.53454485974293E-06</v>
      </c>
      <c r="R71" s="13">
        <f t="shared" si="24"/>
        <v>0.4224284716632713</v>
      </c>
      <c r="S71" s="13">
        <f t="shared" si="25"/>
        <v>0.44463432586038565</v>
      </c>
      <c r="T71" s="13">
        <f t="shared" si="26"/>
        <v>1.0394837172277953</v>
      </c>
      <c r="U71" s="13">
        <f t="shared" si="27"/>
        <v>0.9920154407007431</v>
      </c>
      <c r="W71" s="387">
        <f>1*(M71-Val!$D$28)*PI()/4*Val!$D$2^2*(SIN(D71)+Val!$D$18/2*SIN(2*D71)/(1-Val!$D$18^2*SIN(D71)^2)^0.5)*Val!$D$4*(D71-D70)+1*(M71-Val!$D$28)*PI()/4*Val!$D$3^2*(SIN(E71)+Val!$D$19/2*SIN(2*E71)/(1-Val!$D$19^2*SIN(E71)^2)^0.5)*Val!$D$5*(E71-E70)</f>
        <v>0.29632392687769155</v>
      </c>
    </row>
    <row r="72" spans="2:23" ht="13.5">
      <c r="B72" s="32">
        <v>67</v>
      </c>
      <c r="C72" s="32">
        <f>B72-Data!$D$10</f>
        <v>-23</v>
      </c>
      <c r="D72" s="30">
        <f t="shared" si="20"/>
        <v>1.1693705988362009</v>
      </c>
      <c r="E72" s="30">
        <f t="shared" si="21"/>
        <v>-0.4014257279586958</v>
      </c>
      <c r="F72" s="26">
        <f>Val!$D$11*(1-COS(D72))+Val!$D$12*(1-COS(E72))</f>
        <v>0.0003443819642801489</v>
      </c>
      <c r="G72" s="26">
        <f>Val!$D$11*((1-COS(Calc!D72))+1/Val!$D$18*(1-(1-(Val!$D$18*SIN(Calc!D72))^2)^0.5))+Val!$D$12*((1-COS(Calc!E72))+1/Val!$D$19*(1-(1-(Val!$D$19*SIN(Calc!E72))^2)^0.5))</f>
        <v>0.00039905585306447696</v>
      </c>
      <c r="H72" s="26">
        <f t="shared" si="22"/>
        <v>-5.467388878432807E-05</v>
      </c>
      <c r="I72" s="22">
        <f>Val!$D$11*(1-COS(D72))+Val!$D$14+Val!$D$13+Val!$D$12*((1-COS(Calc!E72)))+Val!$D$15</f>
        <v>0.0010443819642801488</v>
      </c>
      <c r="J72" s="22">
        <f>Val!$D$11*((1-COS(Calc!$D72))+1/Val!$D$18*(1-(1-(Val!$D$18*SIN(Calc!$D72))^2)^0.5))+Val!$D$14+Val!$D$13+Val!$D$12*((1-COS(Calc!$E72))+1/Val!$D$19*(1-(1-(Val!$D$19*SIN(Calc!$E72))^2)^0.5))+Val!$D$15</f>
        <v>0.0010990558530644767</v>
      </c>
      <c r="K72" s="44">
        <f t="shared" si="23"/>
        <v>-5.467388878432791E-05</v>
      </c>
      <c r="L72" s="50">
        <f>Val!$D$42*Val!$D$22/Val!$D$37/(1-Val!$D$39*COS(D72-Val!$D$40))</f>
        <v>176410.56730237513</v>
      </c>
      <c r="M72" s="50">
        <f>Val!$D$42*Val!$D$22/(Val!$D$11*((1-COS(Calc!D72))+1/Val!$D$18*(1-(1-(Val!$D$18*SIN(Calc!D72))^2)^0.5))/Val!$D$25+Val!$D$14/Val!$D$25+Val!$D$13/Val!$D$27+Val!$D$12*((1-COS(Calc!E72))+1/Val!$D$19*(1-(1-(Val!$D$19*SIN(Calc!E72))^2)^0.5))/Val!$D$26+Val!$D$15/Val!$D$26)</f>
        <v>168483.69590817328</v>
      </c>
      <c r="N72" s="16">
        <f t="shared" si="28"/>
        <v>0.8335813226974976</v>
      </c>
      <c r="O72" s="16">
        <f t="shared" si="29"/>
        <v>0.7983671565926149</v>
      </c>
      <c r="P72" s="16">
        <f t="shared" si="30"/>
        <v>-4.722766365831065E-06</v>
      </c>
      <c r="Q72" s="16">
        <f t="shared" si="31"/>
        <v>-4.7342806179904865E-06</v>
      </c>
      <c r="R72" s="13">
        <f t="shared" si="24"/>
        <v>0.42426590249770424</v>
      </c>
      <c r="S72" s="13">
        <f t="shared" si="25"/>
        <v>0.4464764227493923</v>
      </c>
      <c r="T72" s="13">
        <f t="shared" si="26"/>
        <v>1.0408916804142871</v>
      </c>
      <c r="U72" s="13">
        <f t="shared" si="27"/>
        <v>0.9941200237493204</v>
      </c>
      <c r="W72" s="387">
        <f>1*(M72-Val!$D$28)*PI()/4*Val!$D$2^2*(SIN(D72)+Val!$D$18/2*SIN(2*D72)/(1-Val!$D$18^2*SIN(D72)^2)^0.5)*Val!$D$4*(D72-D71)+1*(M72-Val!$D$28)*PI()/4*Val!$D$3^2*(SIN(E72)+Val!$D$19/2*SIN(2*E72)/(1-Val!$D$19^2*SIN(E72)^2)^0.5)*Val!$D$5*(E72-E71)</f>
        <v>0.3113733729123199</v>
      </c>
    </row>
    <row r="73" spans="2:23" ht="13.5">
      <c r="B73" s="32">
        <v>68</v>
      </c>
      <c r="C73" s="32">
        <f>B73-Data!$D$10</f>
        <v>-22</v>
      </c>
      <c r="D73" s="30">
        <f t="shared" si="20"/>
        <v>1.1868238913561442</v>
      </c>
      <c r="E73" s="30">
        <f t="shared" si="21"/>
        <v>-0.3839724354387525</v>
      </c>
      <c r="F73" s="26">
        <f>Val!$D$11*(1-COS(D73))+Val!$D$12*(1-COS(E73))</f>
        <v>0.00034910473064597995</v>
      </c>
      <c r="G73" s="26">
        <f>Val!$D$11*((1-COS(Calc!D73))+1/Val!$D$18*(1-(1-(Val!$D$18*SIN(Calc!D73))^2)^0.5))+Val!$D$12*((1-COS(Calc!E73))+1/Val!$D$19*(1-(1-(Val!$D$19*SIN(Calc!E73))^2)^0.5))</f>
        <v>0.00040379013368246745</v>
      </c>
      <c r="H73" s="26">
        <f t="shared" si="22"/>
        <v>-5.4685403036487494E-05</v>
      </c>
      <c r="I73" s="22">
        <f>Val!$D$11*(1-COS(D73))+Val!$D$14+Val!$D$13+Val!$D$12*((1-COS(Calc!E73)))+Val!$D$15</f>
        <v>0.0010491047306459798</v>
      </c>
      <c r="J73" s="22">
        <f>Val!$D$11*((1-COS(Calc!$D73))+1/Val!$D$18*(1-(1-(Val!$D$18*SIN(Calc!$D73))^2)^0.5))+Val!$D$14+Val!$D$13+Val!$D$12*((1-COS(Calc!$E73))+1/Val!$D$19*(1-(1-(Val!$D$19*SIN(Calc!$E73))^2)^0.5))+Val!$D$15</f>
        <v>0.0011037901336824675</v>
      </c>
      <c r="K73" s="44">
        <f t="shared" si="23"/>
        <v>-5.468540303648771E-05</v>
      </c>
      <c r="L73" s="50">
        <f>Val!$D$42*Val!$D$22/Val!$D$37/(1-Val!$D$39*COS(D73-Val!$D$40))</f>
        <v>176594.96298530482</v>
      </c>
      <c r="M73" s="50">
        <f>Val!$D$42*Val!$D$22/(Val!$D$11*((1-COS(Calc!D73))+1/Val!$D$18*(1-(1-(Val!$D$18*SIN(Calc!D73))^2)^0.5))/Val!$D$25+Val!$D$14/Val!$D$25+Val!$D$13/Val!$D$27+Val!$D$12*((1-COS(Calc!E73))+1/Val!$D$19*(1-(1-(Val!$D$19*SIN(Calc!E73))^2)^0.5))/Val!$D$26+Val!$D$15/Val!$D$26)</f>
        <v>168787.04108985246</v>
      </c>
      <c r="N73" s="16">
        <f t="shared" si="28"/>
        <v>0.8693493558815669</v>
      </c>
      <c r="O73" s="16">
        <f t="shared" si="29"/>
        <v>0.8331603623610686</v>
      </c>
      <c r="P73" s="16">
        <f t="shared" si="30"/>
        <v>-4.9210353306592585E-06</v>
      </c>
      <c r="Q73" s="16">
        <f t="shared" si="31"/>
        <v>-4.932521679577439E-06</v>
      </c>
      <c r="R73" s="13">
        <f t="shared" si="24"/>
        <v>0.4261844618016905</v>
      </c>
      <c r="S73" s="13">
        <f t="shared" si="25"/>
        <v>0.4483996595609871</v>
      </c>
      <c r="T73" s="13">
        <f t="shared" si="26"/>
        <v>1.0419796874152332</v>
      </c>
      <c r="U73" s="13">
        <f t="shared" si="27"/>
        <v>0.9959098795427231</v>
      </c>
      <c r="W73" s="387">
        <f>1*(M73-Val!$D$28)*PI()/4*Val!$D$2^2*(SIN(D73)+Val!$D$18/2*SIN(2*D73)/(1-Val!$D$18^2*SIN(D73)^2)^0.5)*Val!$D$4*(D73-D72)+1*(M73-Val!$D$28)*PI()/4*Val!$D$3^2*(SIN(E73)+Val!$D$19/2*SIN(2*E73)/(1-Val!$D$19^2*SIN(E73)^2)^0.5)*Val!$D$5*(E73-E72)</f>
        <v>0.3262090945642075</v>
      </c>
    </row>
    <row r="74" spans="2:23" ht="13.5">
      <c r="B74" s="32">
        <v>69</v>
      </c>
      <c r="C74" s="32">
        <f>B74-Data!$D$10</f>
        <v>-21</v>
      </c>
      <c r="D74" s="30">
        <f t="shared" si="20"/>
        <v>1.2042771838760873</v>
      </c>
      <c r="E74" s="30">
        <f t="shared" si="21"/>
        <v>-0.3665191429188092</v>
      </c>
      <c r="F74" s="26">
        <f>Val!$D$11*(1-COS(D74))+Val!$D$12*(1-COS(E74))</f>
        <v>0.0003540257659766392</v>
      </c>
      <c r="G74" s="26">
        <f>Val!$D$11*((1-COS(Calc!D74))+1/Val!$D$18*(1-(1-(Val!$D$18*SIN(Calc!D74))^2)^0.5))+Val!$D$12*((1-COS(Calc!E74))+1/Val!$D$19*(1-(1-(Val!$D$19*SIN(Calc!E74))^2)^0.5))</f>
        <v>0.0004087226553620449</v>
      </c>
      <c r="H74" s="26">
        <f t="shared" si="22"/>
        <v>-5.4696889385405674E-05</v>
      </c>
      <c r="I74" s="22">
        <f>Val!$D$11*(1-COS(D74))+Val!$D$14+Val!$D$13+Val!$D$12*((1-COS(Calc!E74)))+Val!$D$15</f>
        <v>0.0010540257659766392</v>
      </c>
      <c r="J74" s="22">
        <f>Val!$D$11*((1-COS(Calc!$D74))+1/Val!$D$18*(1-(1-(Val!$D$18*SIN(Calc!$D74))^2)^0.5))+Val!$D$14+Val!$D$13+Val!$D$12*((1-COS(Calc!$E74))+1/Val!$D$19*(1-(1-(Val!$D$19*SIN(Calc!$E74))^2)^0.5))+Val!$D$15</f>
        <v>0.0011087226553620447</v>
      </c>
      <c r="K74" s="44">
        <f t="shared" si="23"/>
        <v>-5.469688938540551E-05</v>
      </c>
      <c r="L74" s="50">
        <f>Val!$D$42*Val!$D$22/Val!$D$37/(1-Val!$D$39*COS(D74-Val!$D$40))</f>
        <v>176724.73397573413</v>
      </c>
      <c r="M74" s="50">
        <f>Val!$D$42*Val!$D$22/(Val!$D$11*((1-COS(Calc!D74))+1/Val!$D$18*(1-(1-(Val!$D$18*SIN(Calc!D74))^2)^0.5))/Val!$D$25+Val!$D$14/Val!$D$25+Val!$D$13/Val!$D$27+Val!$D$12*((1-COS(Calc!E74))+1/Val!$D$19*(1-(1-(Val!$D$19*SIN(Calc!E74))^2)^0.5))/Val!$D$26+Val!$D$15/Val!$D$26)</f>
        <v>169036.25355909875</v>
      </c>
      <c r="N74" s="16">
        <f t="shared" si="28"/>
        <v>0.9046343525949622</v>
      </c>
      <c r="O74" s="16">
        <f t="shared" si="29"/>
        <v>0.867520647108086</v>
      </c>
      <c r="P74" s="16">
        <f t="shared" si="30"/>
        <v>-5.117805300454805E-06</v>
      </c>
      <c r="Q74" s="16">
        <f t="shared" si="31"/>
        <v>-5.129207783684665E-06</v>
      </c>
      <c r="R74" s="13">
        <f t="shared" si="24"/>
        <v>0.4281835651634805</v>
      </c>
      <c r="S74" s="13">
        <f t="shared" si="25"/>
        <v>0.45040342909507486</v>
      </c>
      <c r="T74" s="13">
        <f t="shared" si="26"/>
        <v>1.042745387261691</v>
      </c>
      <c r="U74" s="13">
        <f t="shared" si="27"/>
        <v>0.9973803310573954</v>
      </c>
      <c r="W74" s="387">
        <f>1*(M74-Val!$D$28)*PI()/4*Val!$D$2^2*(SIN(D74)+Val!$D$18/2*SIN(2*D74)/(1-Val!$D$18^2*SIN(D74)^2)^0.5)*Val!$D$4*(D74-D73)+1*(M74-Val!$D$28)*PI()/4*Val!$D$3^2*(SIN(E74)+Val!$D$19/2*SIN(2*E74)/(1-Val!$D$19^2*SIN(E74)^2)^0.5)*Val!$D$5*(E74-E73)</f>
        <v>0.340789821284976</v>
      </c>
    </row>
    <row r="75" spans="2:23" ht="13.5">
      <c r="B75" s="32">
        <v>70</v>
      </c>
      <c r="C75" s="32">
        <f>B75-Data!$D$10</f>
        <v>-20</v>
      </c>
      <c r="D75" s="30">
        <f t="shared" si="20"/>
        <v>1.2217304763960306</v>
      </c>
      <c r="E75" s="30">
        <f t="shared" si="21"/>
        <v>-0.3490658503988659</v>
      </c>
      <c r="F75" s="26">
        <f>Val!$D$11*(1-COS(D75))+Val!$D$12*(1-COS(E75))</f>
        <v>0.000359143571277094</v>
      </c>
      <c r="G75" s="26">
        <f>Val!$D$11*((1-COS(Calc!D75))+1/Val!$D$18*(1-(1-(Val!$D$18*SIN(Calc!D75))^2)^0.5))+Val!$D$12*((1-COS(Calc!E75))+1/Val!$D$19*(1-(1-(Val!$D$19*SIN(Calc!E75))^2)^0.5))</f>
        <v>0.00041385186314572955</v>
      </c>
      <c r="H75" s="26">
        <f t="shared" si="22"/>
        <v>-5.4708291868635535E-05</v>
      </c>
      <c r="I75" s="22">
        <f>Val!$D$11*(1-COS(D75))+Val!$D$14+Val!$D$13+Val!$D$12*((1-COS(Calc!E75)))+Val!$D$15</f>
        <v>0.001059143571277094</v>
      </c>
      <c r="J75" s="22">
        <f>Val!$D$11*((1-COS(Calc!$D75))+1/Val!$D$18*(1-(1-(Val!$D$18*SIN(Calc!$D75))^2)^0.5))+Val!$D$14+Val!$D$13+Val!$D$12*((1-COS(Calc!$E75))+1/Val!$D$19*(1-(1-(Val!$D$19*SIN(Calc!$E75))^2)^0.5))+Val!$D$15</f>
        <v>0.0011138518631457295</v>
      </c>
      <c r="K75" s="44">
        <f t="shared" si="23"/>
        <v>-5.470829186863548E-05</v>
      </c>
      <c r="L75" s="50">
        <f>Val!$D$42*Val!$D$22/Val!$D$37/(1-Val!$D$39*COS(D75-Val!$D$40))</f>
        <v>176799.5990091764</v>
      </c>
      <c r="M75" s="50">
        <f>Val!$D$42*Val!$D$22/(Val!$D$11*((1-COS(Calc!D75))+1/Val!$D$18*(1-(1-(Val!$D$18*SIN(Calc!D75))^2)^0.5))/Val!$D$25+Val!$D$14/Val!$D$25+Val!$D$13/Val!$D$27+Val!$D$12*((1-COS(Calc!E75))+1/Val!$D$19*(1-(1-(Val!$D$19*SIN(Calc!E75))^2)^0.5))/Val!$D$26+Val!$D$15/Val!$D$26)</f>
        <v>169230.66160372098</v>
      </c>
      <c r="N75" s="16">
        <f t="shared" si="28"/>
        <v>0.9393917474878226</v>
      </c>
      <c r="O75" s="16">
        <f t="shared" si="29"/>
        <v>0.9014015140258214</v>
      </c>
      <c r="P75" s="16">
        <f t="shared" si="30"/>
        <v>-5.313016337178526E-06</v>
      </c>
      <c r="Q75" s="16">
        <f t="shared" si="31"/>
        <v>-5.324279398784618E-06</v>
      </c>
      <c r="R75" s="13">
        <f t="shared" si="24"/>
        <v>0.4302626036368245</v>
      </c>
      <c r="S75" s="13">
        <f t="shared" si="25"/>
        <v>0.45248709967142686</v>
      </c>
      <c r="T75" s="13">
        <f t="shared" si="26"/>
        <v>1.0431871203826466</v>
      </c>
      <c r="U75" s="13">
        <f t="shared" si="27"/>
        <v>0.9985274149274111</v>
      </c>
      <c r="W75" s="387">
        <f>1*(M75-Val!$D$28)*PI()/4*Val!$D$2^2*(SIN(D75)+Val!$D$18/2*SIN(2*D75)/(1-Val!$D$18^2*SIN(D75)^2)^0.5)*Val!$D$4*(D75-D74)+1*(M75-Val!$D$28)*PI()/4*Val!$D$3^2*(SIN(E75)+Val!$D$19/2*SIN(2*E75)/(1-Val!$D$19^2*SIN(E75)^2)^0.5)*Val!$D$5*(E75-E74)</f>
        <v>0.3550747635563473</v>
      </c>
    </row>
    <row r="76" spans="2:23" ht="13.5">
      <c r="B76" s="32">
        <v>71</v>
      </c>
      <c r="C76" s="32">
        <f>B76-Data!$D$10</f>
        <v>-19</v>
      </c>
      <c r="D76" s="30">
        <f t="shared" si="20"/>
        <v>1.239183768915974</v>
      </c>
      <c r="E76" s="30">
        <f t="shared" si="21"/>
        <v>-0.33161255787892263</v>
      </c>
      <c r="F76" s="26">
        <f>Val!$D$11*(1-COS(D76))+Val!$D$12*(1-COS(E76))</f>
        <v>0.00036445658761427254</v>
      </c>
      <c r="G76" s="26">
        <f>Val!$D$11*((1-COS(Calc!D76))+1/Val!$D$18*(1-(1-(Val!$D$18*SIN(Calc!D76))^2)^0.5))+Val!$D$12*((1-COS(Calc!E76))+1/Val!$D$19*(1-(1-(Val!$D$19*SIN(Calc!E76))^2)^0.5))</f>
        <v>0.00041917614254451417</v>
      </c>
      <c r="H76" s="26">
        <f t="shared" si="22"/>
        <v>-5.4719554930241626E-05</v>
      </c>
      <c r="I76" s="22">
        <f>Val!$D$11*(1-COS(D76))+Val!$D$14+Val!$D$13+Val!$D$12*((1-COS(Calc!E76)))+Val!$D$15</f>
        <v>0.0010644565876142724</v>
      </c>
      <c r="J76" s="22">
        <f>Val!$D$11*((1-COS(Calc!$D76))+1/Val!$D$18*(1-(1-(Val!$D$18*SIN(Calc!$D76))^2)^0.5))+Val!$D$14+Val!$D$13+Val!$D$12*((1-COS(Calc!$E76))+1/Val!$D$19*(1-(1-(Val!$D$19*SIN(Calc!$E76))^2)^0.5))+Val!$D$15</f>
        <v>0.001119176142544514</v>
      </c>
      <c r="K76" s="44">
        <f t="shared" si="23"/>
        <v>-5.471955493024168E-05</v>
      </c>
      <c r="L76" s="50">
        <f>Val!$D$42*Val!$D$22/Val!$D$37/(1-Val!$D$39*COS(D76-Val!$D$40))</f>
        <v>176819.3955022183</v>
      </c>
      <c r="M76" s="50">
        <f>Val!$D$42*Val!$D$22/(Val!$D$11*((1-COS(Calc!D76))+1/Val!$D$18*(1-(1-(Val!$D$18*SIN(Calc!D76))^2)^0.5))/Val!$D$25+Val!$D$14/Val!$D$25+Val!$D$13/Val!$D$27+Val!$D$12*((1-COS(Calc!E76))+1/Val!$D$19*(1-(1-(Val!$D$19*SIN(Calc!E76))^2)^0.5))/Val!$D$26+Val!$D$15/Val!$D$26)</f>
        <v>169369.71847084307</v>
      </c>
      <c r="N76" s="16">
        <f t="shared" si="28"/>
        <v>0.9735780375322776</v>
      </c>
      <c r="O76" s="16">
        <f t="shared" si="29"/>
        <v>0.9347573012758519</v>
      </c>
      <c r="P76" s="16">
        <f t="shared" si="30"/>
        <v>-5.506608977657484E-06</v>
      </c>
      <c r="Q76" s="16">
        <f t="shared" si="31"/>
        <v>-5.517677738960407E-06</v>
      </c>
      <c r="R76" s="13">
        <f t="shared" si="24"/>
        <v>0.43242094392646335</v>
      </c>
      <c r="S76" s="13">
        <f t="shared" si="25"/>
        <v>0.45465001542594424</v>
      </c>
      <c r="T76" s="13">
        <f t="shared" si="26"/>
        <v>1.043303927472062</v>
      </c>
      <c r="U76" s="13">
        <f t="shared" si="27"/>
        <v>0.9993479050959154</v>
      </c>
      <c r="W76" s="387">
        <f>1*(M76-Val!$D$28)*PI()/4*Val!$D$2^2*(SIN(D76)+Val!$D$18/2*SIN(2*D76)/(1-Val!$D$18^2*SIN(D76)^2)^0.5)*Val!$D$4*(D76-D75)+1*(M76-Val!$D$28)*PI()/4*Val!$D$3^2*(SIN(E76)+Val!$D$19/2*SIN(2*E76)/(1-Val!$D$19^2*SIN(E76)^2)^0.5)*Val!$D$5*(E76-E75)</f>
        <v>0.36902379913453864</v>
      </c>
    </row>
    <row r="77" spans="2:23" ht="13.5">
      <c r="B77" s="32">
        <v>72</v>
      </c>
      <c r="C77" s="32">
        <f>B77-Data!$D$10</f>
        <v>-18</v>
      </c>
      <c r="D77" s="30">
        <f t="shared" si="20"/>
        <v>1.2566370614359172</v>
      </c>
      <c r="E77" s="30">
        <f t="shared" si="21"/>
        <v>-0.3141592653589793</v>
      </c>
      <c r="F77" s="26">
        <f>Val!$D$11*(1-COS(D77))+Val!$D$12*(1-COS(E77))</f>
        <v>0.00036996319659193</v>
      </c>
      <c r="G77" s="26">
        <f>Val!$D$11*((1-COS(Calc!D77))+1/Val!$D$18*(1-(1-(Val!$D$18*SIN(Calc!D77))^2)^0.5))+Val!$D$12*((1-COS(Calc!E77))+1/Val!$D$19*(1-(1-(Val!$D$19*SIN(Calc!E77))^2)^0.5))</f>
        <v>0.0004246938202834746</v>
      </c>
      <c r="H77" s="26">
        <f t="shared" si="22"/>
        <v>-5.473062369154455E-05</v>
      </c>
      <c r="I77" s="22">
        <f>Val!$D$11*(1-COS(D77))+Val!$D$14+Val!$D$13+Val!$D$12*((1-COS(Calc!E77)))+Val!$D$15</f>
        <v>0.0010699631965919297</v>
      </c>
      <c r="J77" s="22">
        <f>Val!$D$11*((1-COS(Calc!$D77))+1/Val!$D$18*(1-(1-(Val!$D$18*SIN(Calc!$D77))^2)^0.5))+Val!$D$14+Val!$D$13+Val!$D$12*((1-COS(Calc!$E77))+1/Val!$D$19*(1-(1-(Val!$D$19*SIN(Calc!$E77))^2)^0.5))+Val!$D$15</f>
        <v>0.0011246938202834746</v>
      </c>
      <c r="K77" s="44">
        <f t="shared" si="23"/>
        <v>-5.473062369154482E-05</v>
      </c>
      <c r="L77" s="50">
        <f>Val!$D$42*Val!$D$22/Val!$D$37/(1-Val!$D$39*COS(D77-Val!$D$40))</f>
        <v>176784.0804237107</v>
      </c>
      <c r="M77" s="50">
        <f>Val!$D$42*Val!$D$22/(Val!$D$11*((1-COS(Calc!D77))+1/Val!$D$18*(1-(1-(Val!$D$18*SIN(Calc!D77))^2)^0.5))/Val!$D$25+Val!$D$14/Val!$D$25+Val!$D$13/Val!$D$27+Val!$D$12*((1-COS(Calc!E77))+1/Val!$D$19*(1-(1-(Val!$D$19*SIN(Calc!E77))^2)^0.5))/Val!$D$26+Val!$D$15/Val!$D$26)</f>
        <v>169453.00568918063</v>
      </c>
      <c r="N77" s="16">
        <f t="shared" si="28"/>
        <v>1.0071509390661164</v>
      </c>
      <c r="O77" s="16">
        <f t="shared" si="29"/>
        <v>0.9675433659475923</v>
      </c>
      <c r="P77" s="16">
        <f t="shared" si="30"/>
        <v>-5.6985242516980955E-06</v>
      </c>
      <c r="Q77" s="16">
        <f t="shared" si="31"/>
        <v>-5.709344778758341E-06</v>
      </c>
      <c r="R77" s="13">
        <f t="shared" si="24"/>
        <v>0.4346579285810366</v>
      </c>
      <c r="S77" s="13">
        <f t="shared" si="25"/>
        <v>0.4568914966135527</v>
      </c>
      <c r="T77" s="13">
        <f t="shared" si="26"/>
        <v>1.0430955546292449</v>
      </c>
      <c r="U77" s="13">
        <f t="shared" si="27"/>
        <v>0.9998393324178616</v>
      </c>
      <c r="W77" s="387">
        <f>1*(M77-Val!$D$28)*PI()/4*Val!$D$2^2*(SIN(D77)+Val!$D$18/2*SIN(2*D77)/(1-Val!$D$18^2*SIN(D77)^2)^0.5)*Val!$D$4*(D77-D76)+1*(M77-Val!$D$28)*PI()/4*Val!$D$3^2*(SIN(E77)+Val!$D$19/2*SIN(2*E77)/(1-Val!$D$19^2*SIN(E77)^2)^0.5)*Val!$D$5*(E77-E76)</f>
        <v>0.3825976572433958</v>
      </c>
    </row>
    <row r="78" spans="2:23" ht="13.5">
      <c r="B78" s="32">
        <v>73</v>
      </c>
      <c r="C78" s="32">
        <f>B78-Data!$D$10</f>
        <v>-17</v>
      </c>
      <c r="D78" s="30">
        <f t="shared" si="20"/>
        <v>1.2740903539558606</v>
      </c>
      <c r="E78" s="30">
        <f t="shared" si="21"/>
        <v>-0.29670597283903605</v>
      </c>
      <c r="F78" s="26">
        <f>Val!$D$11*(1-COS(D78))+Val!$D$12*(1-COS(E78))</f>
        <v>0.0003756617208436281</v>
      </c>
      <c r="G78" s="26">
        <f>Val!$D$11*((1-COS(Calc!D78))+1/Val!$D$18*(1-(1-(Val!$D$18*SIN(Calc!D78))^2)^0.5))+Val!$D$12*((1-COS(Calc!E78))+1/Val!$D$19*(1-(1-(Val!$D$19*SIN(Calc!E78))^2)^0.5))</f>
        <v>0.0004304031650622329</v>
      </c>
      <c r="H78" s="26">
        <f t="shared" si="22"/>
        <v>-5.4741444218604795E-05</v>
      </c>
      <c r="I78" s="22">
        <f>Val!$D$11*(1-COS(D78))+Val!$D$14+Val!$D$13+Val!$D$12*((1-COS(Calc!E78)))+Val!$D$15</f>
        <v>0.0010756617208436282</v>
      </c>
      <c r="J78" s="22">
        <f>Val!$D$11*((1-COS(Calc!$D78))+1/Val!$D$18*(1-(1-(Val!$D$18*SIN(Calc!$D78))^2)^0.5))+Val!$D$14+Val!$D$13+Val!$D$12*((1-COS(Calc!$E78))+1/Val!$D$19*(1-(1-(Val!$D$19*SIN(Calc!$E78))^2)^0.5))+Val!$D$15</f>
        <v>0.0011304031650622329</v>
      </c>
      <c r="K78" s="44">
        <f t="shared" si="23"/>
        <v>-5.474144421860469E-05</v>
      </c>
      <c r="L78" s="50">
        <f>Val!$D$42*Val!$D$22/Val!$D$37/(1-Val!$D$39*COS(D78-Val!$D$40))</f>
        <v>176693.73052565553</v>
      </c>
      <c r="M78" s="50">
        <f>Val!$D$42*Val!$D$22/(Val!$D$11*((1-COS(Calc!D78))+1/Val!$D$18*(1-(1-(Val!$D$18*SIN(Calc!D78))^2)^0.5))/Val!$D$25+Val!$D$14/Val!$D$25+Val!$D$13/Val!$D$27+Val!$D$12*((1-COS(Calc!E78))+1/Val!$D$19*(1-(1-(Val!$D$19*SIN(Calc!E78))^2)^0.5))/Val!$D$26+Val!$D$15/Val!$D$26)</f>
        <v>169480.2356688658</v>
      </c>
      <c r="N78" s="16">
        <f t="shared" si="28"/>
        <v>1.0400695384159946</v>
      </c>
      <c r="O78" s="16">
        <f t="shared" si="29"/>
        <v>0.9997162634887461</v>
      </c>
      <c r="P78" s="16">
        <f t="shared" si="30"/>
        <v>-5.888703700048924E-06</v>
      </c>
      <c r="Q78" s="16">
        <f t="shared" si="31"/>
        <v>-5.8992232665825415E-06</v>
      </c>
      <c r="R78" s="13">
        <f t="shared" si="24"/>
        <v>0.43697287619334846</v>
      </c>
      <c r="S78" s="13">
        <f t="shared" si="25"/>
        <v>0.45921083991713035</v>
      </c>
      <c r="T78" s="13">
        <f t="shared" si="26"/>
        <v>1.0425624547211725</v>
      </c>
      <c r="U78" s="13">
        <f t="shared" si="27"/>
        <v>1</v>
      </c>
      <c r="W78" s="387">
        <f>1*(M78-Val!$D$28)*PI()/4*Val!$D$2^2*(SIN(D78)+Val!$D$18/2*SIN(2*D78)/(1-Val!$D$18^2*SIN(D78)^2)^0.5)*Val!$D$4*(D78-D77)+1*(M78-Val!$D$28)*PI()/4*Val!$D$3^2*(SIN(E78)+Val!$D$19/2*SIN(2*E78)/(1-Val!$D$19^2*SIN(E78)^2)^0.5)*Val!$D$5*(E78-E77)</f>
        <v>0.39575809915661</v>
      </c>
    </row>
    <row r="79" spans="2:23" ht="13.5">
      <c r="B79" s="32">
        <v>74</v>
      </c>
      <c r="C79" s="32">
        <f>B79-Data!$D$10</f>
        <v>-16</v>
      </c>
      <c r="D79" s="30">
        <f t="shared" si="20"/>
        <v>1.2915436464758039</v>
      </c>
      <c r="E79" s="30">
        <f t="shared" si="21"/>
        <v>-0.2792526803190927</v>
      </c>
      <c r="F79" s="26">
        <f>Val!$D$11*(1-COS(D79))+Val!$D$12*(1-COS(E79))</f>
        <v>0.00038155042454367705</v>
      </c>
      <c r="G79" s="26">
        <f>Val!$D$11*((1-COS(Calc!D79))+1/Val!$D$18*(1-(1-(Val!$D$18*SIN(Calc!D79))^2)^0.5))+Val!$D$12*((1-COS(Calc!E79))+1/Val!$D$19*(1-(1-(Val!$D$19*SIN(Calc!E79))^2)^0.5))</f>
        <v>0.00043630238832881546</v>
      </c>
      <c r="H79" s="26">
        <f t="shared" si="22"/>
        <v>-5.475196378513841E-05</v>
      </c>
      <c r="I79" s="22">
        <f>Val!$D$11*(1-COS(D79))+Val!$D$14+Val!$D$13+Val!$D$12*((1-COS(Calc!E79)))+Val!$D$15</f>
        <v>0.001081550424543677</v>
      </c>
      <c r="J79" s="22">
        <f>Val!$D$11*((1-COS(Calc!$D79))+1/Val!$D$18*(1-(1-(Val!$D$18*SIN(Calc!$D79))^2)^0.5))+Val!$D$14+Val!$D$13+Val!$D$12*((1-COS(Calc!$E79))+1/Val!$D$19*(1-(1-(Val!$D$19*SIN(Calc!$E79))^2)^0.5))+Val!$D$15</f>
        <v>0.0011363023883288156</v>
      </c>
      <c r="K79" s="44">
        <f t="shared" si="23"/>
        <v>-5.475196378513852E-05</v>
      </c>
      <c r="L79" s="50">
        <f>Val!$D$42*Val!$D$22/Val!$D$37/(1-Val!$D$39*COS(D79-Val!$D$40))</f>
        <v>176548.5419314773</v>
      </c>
      <c r="M79" s="50">
        <f>Val!$D$42*Val!$D$22/(Val!$D$11*((1-COS(Calc!D79))+1/Val!$D$18*(1-(1-(Val!$D$18*SIN(Calc!D79))^2)^0.5))/Val!$D$25+Val!$D$14/Val!$D$25+Val!$D$13/Val!$D$27+Val!$D$12*((1-COS(Calc!E79))+1/Val!$D$19*(1-(1-(Val!$D$19*SIN(Calc!E79))^2)^0.5))/Val!$D$26+Val!$D$15/Val!$D$26)</f>
        <v>169451.2535500058</v>
      </c>
      <c r="N79" s="16">
        <f t="shared" si="28"/>
        <v>1.0722944349735135</v>
      </c>
      <c r="O79" s="16">
        <f t="shared" si="29"/>
        <v>1.0312339210912056</v>
      </c>
      <c r="P79" s="16">
        <f t="shared" si="30"/>
        <v>-6.077089392207452E-06</v>
      </c>
      <c r="Q79" s="16">
        <f t="shared" si="31"/>
        <v>-6.087256736655967E-06</v>
      </c>
      <c r="R79" s="13">
        <f t="shared" si="24"/>
        <v>0.4393650816079305</v>
      </c>
      <c r="S79" s="13">
        <f t="shared" si="25"/>
        <v>0.4616073187618769</v>
      </c>
      <c r="T79" s="13">
        <f t="shared" si="26"/>
        <v>1.04170578495313</v>
      </c>
      <c r="U79" s="13">
        <f t="shared" si="27"/>
        <v>0.9998289941080999</v>
      </c>
      <c r="W79" s="387">
        <f>1*(M79-Val!$D$28)*PI()/4*Val!$D$2^2*(SIN(D79)+Val!$D$18/2*SIN(2*D79)/(1-Val!$D$18^2*SIN(D79)^2)^0.5)*Val!$D$4*(D79-D78)+1*(M79-Val!$D$28)*PI()/4*Val!$D$3^2*(SIN(E79)+Val!$D$19/2*SIN(2*E79)/(1-Val!$D$19^2*SIN(E79)^2)^0.5)*Val!$D$5*(E79-E78)</f>
        <v>0.40846809363038844</v>
      </c>
    </row>
    <row r="80" spans="2:23" ht="13.5">
      <c r="B80" s="32">
        <v>75</v>
      </c>
      <c r="C80" s="32">
        <f>B80-Data!$D$10</f>
        <v>-15</v>
      </c>
      <c r="D80" s="30">
        <f t="shared" si="20"/>
        <v>1.3089969389957472</v>
      </c>
      <c r="E80" s="30">
        <f t="shared" si="21"/>
        <v>-0.2617993877991494</v>
      </c>
      <c r="F80" s="26">
        <f>Val!$D$11*(1-COS(D80))+Val!$D$12*(1-COS(E80))</f>
        <v>0.0003876275139358845</v>
      </c>
      <c r="G80" s="26">
        <f>Val!$D$11*((1-COS(Calc!D80))+1/Val!$D$18*(1-(1-(Val!$D$18*SIN(Calc!D80))^2)^0.5))+Val!$D$12*((1-COS(Calc!E80))+1/Val!$D$19*(1-(1-(Val!$D$19*SIN(Calc!E80))^2)^0.5))</f>
        <v>0.0004423896450654714</v>
      </c>
      <c r="H80" s="26">
        <f t="shared" si="22"/>
        <v>-5.476213112958693E-05</v>
      </c>
      <c r="I80" s="22">
        <f>Val!$D$11*(1-COS(D80))+Val!$D$14+Val!$D$13+Val!$D$12*((1-COS(Calc!E80)))+Val!$D$15</f>
        <v>0.0010876275139358846</v>
      </c>
      <c r="J80" s="22">
        <f>Val!$D$11*((1-COS(Calc!$D80))+1/Val!$D$18*(1-(1-(Val!$D$18*SIN(Calc!$D80))^2)^0.5))+Val!$D$14+Val!$D$13+Val!$D$12*((1-COS(Calc!$E80))+1/Val!$D$19*(1-(1-(Val!$D$19*SIN(Calc!$E80))^2)^0.5))+Val!$D$15</f>
        <v>0.0011423896450654715</v>
      </c>
      <c r="K80" s="44">
        <f t="shared" si="23"/>
        <v>-5.476213112958687E-05</v>
      </c>
      <c r="L80" s="50">
        <f>Val!$D$42*Val!$D$22/Val!$D$37/(1-Val!$D$39*COS(D80-Val!$D$40))</f>
        <v>176348.82908579928</v>
      </c>
      <c r="M80" s="50">
        <f>Val!$D$42*Val!$D$22/(Val!$D$11*((1-COS(Calc!D80))+1/Val!$D$18*(1-(1-(Val!$D$18*SIN(Calc!D80))^2)^0.5))/Val!$D$25+Val!$D$14/Val!$D$25+Val!$D$13/Val!$D$27+Val!$D$12*((1-COS(Calc!E80))+1/Val!$D$19*(1-(1-(Val!$D$19*SIN(Calc!E80))^2)^0.5))/Val!$D$26+Val!$D$15/Val!$D$26)</f>
        <v>169366.03827912867</v>
      </c>
      <c r="N80" s="16">
        <f t="shared" si="28"/>
        <v>1.1037878756705948</v>
      </c>
      <c r="O80" s="16">
        <f t="shared" si="29"/>
        <v>1.0620558035690753</v>
      </c>
      <c r="P80" s="16">
        <f t="shared" si="30"/>
        <v>-6.263623944067099E-06</v>
      </c>
      <c r="Q80" s="16">
        <f t="shared" si="31"/>
        <v>-6.273389519555986E-06</v>
      </c>
      <c r="R80" s="13">
        <f t="shared" si="24"/>
        <v>0.44183381613583983</v>
      </c>
      <c r="S80" s="13">
        <f t="shared" si="25"/>
        <v>0.4640801836345412</v>
      </c>
      <c r="T80" s="13">
        <f t="shared" si="26"/>
        <v>1.0405274006719787</v>
      </c>
      <c r="U80" s="13">
        <f t="shared" si="27"/>
        <v>0.9993261905184021</v>
      </c>
      <c r="W80" s="387">
        <f>1*(M80-Val!$D$28)*PI()/4*Val!$D$2^2*(SIN(D80)+Val!$D$18/2*SIN(2*D80)/(1-Val!$D$18^2*SIN(D80)^2)^0.5)*Val!$D$4*(D80-D79)+1*(M80-Val!$D$28)*PI()/4*Val!$D$3^2*(SIN(E80)+Val!$D$19/2*SIN(2*E80)/(1-Val!$D$19^2*SIN(E80)^2)^0.5)*Val!$D$5*(E80-E79)</f>
        <v>0.4206919856905563</v>
      </c>
    </row>
    <row r="81" spans="2:23" ht="13.5">
      <c r="B81" s="32">
        <v>76</v>
      </c>
      <c r="C81" s="32">
        <f>B81-Data!$D$10</f>
        <v>-14</v>
      </c>
      <c r="D81" s="30">
        <f t="shared" si="20"/>
        <v>1.3264502315156905</v>
      </c>
      <c r="E81" s="30">
        <f t="shared" si="21"/>
        <v>-0.24434609527920614</v>
      </c>
      <c r="F81" s="26">
        <f>Val!$D$11*(1-COS(D81))+Val!$D$12*(1-COS(E81))</f>
        <v>0.0003938911378799516</v>
      </c>
      <c r="G81" s="26">
        <f>Val!$D$11*((1-COS(Calc!D81))+1/Val!$D$18*(1-(1-(Val!$D$18*SIN(Calc!D81))^2)^0.5))+Val!$D$12*((1-COS(Calc!E81))+1/Val!$D$19*(1-(1-(Val!$D$19*SIN(Calc!E81))^2)^0.5))</f>
        <v>0.0004486630345850274</v>
      </c>
      <c r="H81" s="26">
        <f t="shared" si="22"/>
        <v>-5.4771896705075815E-05</v>
      </c>
      <c r="I81" s="22">
        <f>Val!$D$11*(1-COS(D81))+Val!$D$14+Val!$D$13+Val!$D$12*((1-COS(Calc!E81)))+Val!$D$15</f>
        <v>0.0010938911378799516</v>
      </c>
      <c r="J81" s="22">
        <f>Val!$D$11*((1-COS(Calc!$D81))+1/Val!$D$18*(1-(1-(Val!$D$18*SIN(Calc!$D81))^2)^0.5))+Val!$D$14+Val!$D$13+Val!$D$12*((1-COS(Calc!$E81))+1/Val!$D$19*(1-(1-(Val!$D$19*SIN(Calc!$E81))^2)^0.5))+Val!$D$15</f>
        <v>0.0011486630345850274</v>
      </c>
      <c r="K81" s="44">
        <f t="shared" si="23"/>
        <v>-5.477189670507576E-05</v>
      </c>
      <c r="L81" s="50">
        <f>Val!$D$42*Val!$D$22/Val!$D$37/(1-Val!$D$39*COS(D81-Val!$D$40))</f>
        <v>176095.02307621043</v>
      </c>
      <c r="M81" s="50">
        <f>Val!$D$42*Val!$D$22/(Val!$D$11*((1-COS(Calc!D81))+1/Val!$D$18*(1-(1-(Val!$D$18*SIN(Calc!D81))^2)^0.5))/Val!$D$25+Val!$D$14/Val!$D$25+Val!$D$13/Val!$D$27+Val!$D$12*((1-COS(Calc!E81))+1/Val!$D$19*(1-(1-(Val!$D$19*SIN(Calc!E81))^2)^0.5))/Val!$D$26+Val!$D$15/Val!$D$26)</f>
        <v>169224.70290100898</v>
      </c>
      <c r="N81" s="16">
        <f t="shared" si="28"/>
        <v>1.1345138798967076</v>
      </c>
      <c r="O81" s="16">
        <f t="shared" si="29"/>
        <v>1.0921430703425863</v>
      </c>
      <c r="P81" s="16">
        <f t="shared" si="30"/>
        <v>-6.448250535396347E-06</v>
      </c>
      <c r="Q81" s="16">
        <f t="shared" si="31"/>
        <v>-6.457566751368515E-06</v>
      </c>
      <c r="R81" s="13">
        <f t="shared" si="24"/>
        <v>0.44437832777662395</v>
      </c>
      <c r="S81" s="13">
        <f t="shared" si="25"/>
        <v>0.46662866240693035</v>
      </c>
      <c r="T81" s="13">
        <f t="shared" si="26"/>
        <v>1.0390298454639204</v>
      </c>
      <c r="U81" s="13">
        <f t="shared" si="27"/>
        <v>0.9984922562395059</v>
      </c>
      <c r="W81" s="387">
        <f>1*(M81-Val!$D$28)*PI()/4*Val!$D$2^2*(SIN(D81)+Val!$D$18/2*SIN(2*D81)/(1-Val!$D$18^2*SIN(D81)^2)^0.5)*Val!$D$4*(D81-D80)+1*(M81-Val!$D$28)*PI()/4*Val!$D$3^2*(SIN(E81)+Val!$D$19/2*SIN(2*E81)/(1-Val!$D$19^2*SIN(E81)^2)^0.5)*Val!$D$5*(E81-E80)</f>
        <v>0.43239565734228946</v>
      </c>
    </row>
    <row r="82" spans="2:23" ht="13.5">
      <c r="B82" s="32">
        <v>77</v>
      </c>
      <c r="C82" s="32">
        <f>B82-Data!$D$10</f>
        <v>-13</v>
      </c>
      <c r="D82" s="30">
        <f t="shared" si="20"/>
        <v>1.3439035240356338</v>
      </c>
      <c r="E82" s="30">
        <f t="shared" si="21"/>
        <v>-0.22689280275926285</v>
      </c>
      <c r="F82" s="26">
        <f>Val!$D$11*(1-COS(D82))+Val!$D$12*(1-COS(E82))</f>
        <v>0.00040033938841534794</v>
      </c>
      <c r="G82" s="26">
        <f>Val!$D$11*((1-COS(Calc!D82))+1/Val!$D$18*(1-(1-(Val!$D$18*SIN(Calc!D82))^2)^0.5))+Val!$D$12*((1-COS(Calc!E82))+1/Val!$D$19*(1-(1-(Val!$D$19*SIN(Calc!E82))^2)^0.5))</f>
        <v>0.0004551206013363959</v>
      </c>
      <c r="H82" s="26">
        <f t="shared" si="22"/>
        <v>-5.478121292104798E-05</v>
      </c>
      <c r="I82" s="22">
        <f>Val!$D$11*(1-COS(D82))+Val!$D$14+Val!$D$13+Val!$D$12*((1-COS(Calc!E82)))+Val!$D$15</f>
        <v>0.001100339388415348</v>
      </c>
      <c r="J82" s="22">
        <f>Val!$D$11*((1-COS(Calc!$D82))+1/Val!$D$18*(1-(1-(Val!$D$18*SIN(Calc!$D82))^2)^0.5))+Val!$D$14+Val!$D$13+Val!$D$12*((1-COS(Calc!$E82))+1/Val!$D$19*(1-(1-(Val!$D$19*SIN(Calc!$E82))^2)^0.5))+Val!$D$15</f>
        <v>0.0011551206013363958</v>
      </c>
      <c r="K82" s="44">
        <f t="shared" si="23"/>
        <v>-5.478121292104782E-05</v>
      </c>
      <c r="L82" s="50">
        <f>Val!$D$42*Val!$D$22/Val!$D$37/(1-Val!$D$39*COS(D82-Val!$D$40))</f>
        <v>175787.66934370602</v>
      </c>
      <c r="M82" s="50">
        <f>Val!$D$42*Val!$D$22/(Val!$D$11*((1-COS(Calc!D82))+1/Val!$D$18*(1-(1-(Val!$D$18*SIN(Calc!D82))^2)^0.5))/Val!$D$25+Val!$D$14/Val!$D$25+Val!$D$13/Val!$D$27+Val!$D$12*((1-COS(Calc!E82))+1/Val!$D$19*(1-(1-(Val!$D$19*SIN(Calc!E82))^2)^0.5))/Val!$D$26+Val!$D$15/Val!$D$26)</f>
        <v>169027.49406192978</v>
      </c>
      <c r="N82" s="16">
        <f t="shared" si="28"/>
        <v>1.1644383539978815</v>
      </c>
      <c r="O82" s="16">
        <f t="shared" si="29"/>
        <v>1.1214587222354229</v>
      </c>
      <c r="P82" s="16">
        <f t="shared" si="30"/>
        <v>-6.630912927146676E-06</v>
      </c>
      <c r="Q82" s="16">
        <f t="shared" si="31"/>
        <v>-6.639734381484242E-06</v>
      </c>
      <c r="R82" s="13">
        <f t="shared" si="24"/>
        <v>0.44699784144738797</v>
      </c>
      <c r="S82" s="13">
        <f t="shared" si="25"/>
        <v>0.4692519606631357</v>
      </c>
      <c r="T82" s="13">
        <f t="shared" si="26"/>
        <v>1.037216337645198</v>
      </c>
      <c r="U82" s="13">
        <f t="shared" si="27"/>
        <v>0.9973286465814186</v>
      </c>
      <c r="W82" s="387">
        <f>1*(M82-Val!$D$28)*PI()/4*Val!$D$2^2*(SIN(D82)+Val!$D$18/2*SIN(2*D82)/(1-Val!$D$18^2*SIN(D82)^2)^0.5)*Val!$D$4*(D82-D81)+1*(M82-Val!$D$28)*PI()/4*Val!$D$3^2*(SIN(E82)+Val!$D$19/2*SIN(2*E82)/(1-Val!$D$19^2*SIN(E82)^2)^0.5)*Val!$D$5*(E82-E81)</f>
        <v>0.4435466788555218</v>
      </c>
    </row>
    <row r="83" spans="2:23" ht="13.5">
      <c r="B83" s="32">
        <v>78</v>
      </c>
      <c r="C83" s="32">
        <f>B83-Data!$D$10</f>
        <v>-12</v>
      </c>
      <c r="D83" s="30">
        <f t="shared" si="20"/>
        <v>1.361356816555577</v>
      </c>
      <c r="E83" s="30">
        <f t="shared" si="21"/>
        <v>-0.20943951023931956</v>
      </c>
      <c r="F83" s="26">
        <f>Val!$D$11*(1-COS(D83))+Val!$D$12*(1-COS(E83))</f>
        <v>0.0004069703013424946</v>
      </c>
      <c r="G83" s="26">
        <f>Val!$D$11*((1-COS(Calc!D83))+1/Val!$D$18*(1-(1-(Val!$D$18*SIN(Calc!D83))^2)^0.5))+Val!$D$12*((1-COS(Calc!E83))+1/Val!$D$19*(1-(1-(Val!$D$19*SIN(Calc!E83))^2)^0.5))</f>
        <v>0.00046176033571788017</v>
      </c>
      <c r="H83" s="26">
        <f t="shared" si="22"/>
        <v>-5.479003437538555E-05</v>
      </c>
      <c r="I83" s="22">
        <f>Val!$D$11*(1-COS(D83))+Val!$D$14+Val!$D$13+Val!$D$12*((1-COS(Calc!E83)))+Val!$D$15</f>
        <v>0.0011069703013424944</v>
      </c>
      <c r="J83" s="22">
        <f>Val!$D$11*((1-COS(Calc!$D83))+1/Val!$D$18*(1-(1-(Val!$D$18*SIN(Calc!$D83))^2)^0.5))+Val!$D$14+Val!$D$13+Val!$D$12*((1-COS(Calc!$E83))+1/Val!$D$19*(1-(1-(Val!$D$19*SIN(Calc!$E83))^2)^0.5))+Val!$D$15</f>
        <v>0.00116176033571788</v>
      </c>
      <c r="K83" s="44">
        <f t="shared" si="23"/>
        <v>-5.479003437538566E-05</v>
      </c>
      <c r="L83" s="50">
        <f>Val!$D$42*Val!$D$22/Val!$D$37/(1-Val!$D$39*COS(D83-Val!$D$40))</f>
        <v>175427.42480441616</v>
      </c>
      <c r="M83" s="50">
        <f>Val!$D$42*Val!$D$22/(Val!$D$11*((1-COS(Calc!D83))+1/Val!$D$18*(1-(1-(Val!$D$18*SIN(Calc!D83))^2)^0.5))/Val!$D$25+Val!$D$14/Val!$D$25+Val!$D$13/Val!$D$27+Val!$D$12*((1-COS(Calc!E83))+1/Val!$D$19*(1-(1-(Val!$D$19*SIN(Calc!E83))^2)^0.5))/Val!$D$26+Val!$D$15/Val!$D$26)</f>
        <v>168774.79072908143</v>
      </c>
      <c r="N83" s="16">
        <f t="shared" si="28"/>
        <v>1.1935291946136277</v>
      </c>
      <c r="O83" s="16">
        <f t="shared" si="29"/>
        <v>1.1499677369065824</v>
      </c>
      <c r="P83" s="16">
        <f t="shared" si="30"/>
        <v>-6.811555478584475E-06</v>
      </c>
      <c r="Q83" s="16">
        <f t="shared" si="31"/>
        <v>-6.819839179085627E-06</v>
      </c>
      <c r="R83" s="13">
        <f t="shared" si="24"/>
        <v>0.44969155921889176</v>
      </c>
      <c r="S83" s="13">
        <f t="shared" si="25"/>
        <v>0.47194926202992743</v>
      </c>
      <c r="T83" s="13">
        <f t="shared" si="26"/>
        <v>1.0350907532791618</v>
      </c>
      <c r="U83" s="13">
        <f t="shared" si="27"/>
        <v>0.9958375975995061</v>
      </c>
      <c r="W83" s="387">
        <f>1*(M83-Val!$D$28)*PI()/4*Val!$D$2^2*(SIN(D83)+Val!$D$18/2*SIN(2*D83)/(1-Val!$D$18^2*SIN(D83)^2)^0.5)*Val!$D$4*(D83-D82)+1*(M83-Val!$D$28)*PI()/4*Val!$D$3^2*(SIN(E83)+Val!$D$19/2*SIN(2*E83)/(1-Val!$D$19^2*SIN(E83)^2)^0.5)*Val!$D$5*(E83-E82)</f>
        <v>0.45411444938301193</v>
      </c>
    </row>
    <row r="84" spans="2:23" ht="13.5">
      <c r="B84" s="32">
        <v>79</v>
      </c>
      <c r="C84" s="32">
        <f>B84-Data!$D$10</f>
        <v>-11</v>
      </c>
      <c r="D84" s="30">
        <f t="shared" si="20"/>
        <v>1.3788101090755203</v>
      </c>
      <c r="E84" s="30">
        <f t="shared" si="21"/>
        <v>-0.19198621771937624</v>
      </c>
      <c r="F84" s="26">
        <f>Val!$D$11*(1-COS(D84))+Val!$D$12*(1-COS(E84))</f>
        <v>0.0004137818568210791</v>
      </c>
      <c r="G84" s="26">
        <f>Val!$D$11*((1-COS(Calc!D84))+1/Val!$D$18*(1-(1-(Val!$D$18*SIN(Calc!D84))^2)^0.5))+Val!$D$12*((1-COS(Calc!E84))+1/Val!$D$19*(1-(1-(Val!$D$19*SIN(Calc!E84))^2)^0.5))</f>
        <v>0.0004685801748969658</v>
      </c>
      <c r="H84" s="26">
        <f t="shared" si="22"/>
        <v>-5.47983180758867E-05</v>
      </c>
      <c r="I84" s="22">
        <f>Val!$D$11*(1-COS(D84))+Val!$D$14+Val!$D$13+Val!$D$12*((1-COS(Calc!E84)))+Val!$D$15</f>
        <v>0.001113781856821079</v>
      </c>
      <c r="J84" s="22">
        <f>Val!$D$11*((1-COS(Calc!$D84))+1/Val!$D$18*(1-(1-(Val!$D$18*SIN(Calc!$D84))^2)^0.5))+Val!$D$14+Val!$D$13+Val!$D$12*((1-COS(Calc!$E84))+1/Val!$D$19*(1-(1-(Val!$D$19*SIN(Calc!$E84))^2)^0.5))+Val!$D$15</f>
        <v>0.0011685801748969656</v>
      </c>
      <c r="K84" s="44">
        <f t="shared" si="23"/>
        <v>-5.479831807588659E-05</v>
      </c>
      <c r="L84" s="50">
        <f>Val!$D$42*Val!$D$22/Val!$D$37/(1-Val!$D$39*COS(D84-Val!$D$40))</f>
        <v>175015.0544108126</v>
      </c>
      <c r="M84" s="50">
        <f>Val!$D$42*Val!$D$22/(Val!$D$11*((1-COS(Calc!D84))+1/Val!$D$18*(1-(1-(Val!$D$18*SIN(Calc!D84))^2)^0.5))/Val!$D$25+Val!$D$14/Val!$D$25+Val!$D$13/Val!$D$27+Val!$D$12*((1-COS(Calc!E84))+1/Val!$D$19*(1-(1-(Val!$D$19*SIN(Calc!E84))^2)^0.5))/Val!$D$26+Val!$D$15/Val!$D$26)</f>
        <v>168467.102139361</v>
      </c>
      <c r="N84" s="16">
        <f t="shared" si="28"/>
        <v>1.2217563802246194</v>
      </c>
      <c r="O84" s="16">
        <f t="shared" si="29"/>
        <v>1.1776371918672477</v>
      </c>
      <c r="P84" s="16">
        <f t="shared" si="30"/>
        <v>-6.9901231642386405E-06</v>
      </c>
      <c r="Q84" s="16">
        <f t="shared" si="31"/>
        <v>-6.997828738360666E-06</v>
      </c>
      <c r="R84" s="13">
        <f t="shared" si="24"/>
        <v>0.45245866055860784</v>
      </c>
      <c r="S84" s="13">
        <f t="shared" si="25"/>
        <v>0.47471972850978306</v>
      </c>
      <c r="T84" s="13">
        <f t="shared" si="26"/>
        <v>1.0326576058860388</v>
      </c>
      <c r="U84" s="13">
        <f t="shared" si="27"/>
        <v>0.9940221139916027</v>
      </c>
      <c r="W84" s="387">
        <f>1*(M84-Val!$D$28)*PI()/4*Val!$D$2^2*(SIN(D84)+Val!$D$18/2*SIN(2*D84)/(1-Val!$D$18^2*SIN(D84)^2)^0.5)*Val!$D$4*(D84-D83)+1*(M84-Val!$D$28)*PI()/4*Val!$D$3^2*(SIN(E84)+Val!$D$19/2*SIN(2*E84)/(1-Val!$D$19^2*SIN(E84)^2)^0.5)*Val!$D$5*(E84-E83)</f>
        <v>0.46407032578937396</v>
      </c>
    </row>
    <row r="85" spans="2:23" ht="13.5">
      <c r="B85" s="32">
        <v>80</v>
      </c>
      <c r="C85" s="32">
        <f>B85-Data!$D$10</f>
        <v>-10</v>
      </c>
      <c r="D85" s="30">
        <f t="shared" si="20"/>
        <v>1.3962634015954636</v>
      </c>
      <c r="E85" s="30">
        <f t="shared" si="21"/>
        <v>-0.17453292519943295</v>
      </c>
      <c r="F85" s="26">
        <f>Val!$D$11*(1-COS(D85))+Val!$D$12*(1-COS(E85))</f>
        <v>0.00042077197998531774</v>
      </c>
      <c r="G85" s="26">
        <f>Val!$D$11*((1-COS(Calc!D85))+1/Val!$D$18*(1-(1-(Val!$D$18*SIN(Calc!D85))^2)^0.5))+Val!$D$12*((1-COS(Calc!E85))+1/Val!$D$19*(1-(1-(Val!$D$19*SIN(Calc!E85))^2)^0.5))</f>
        <v>0.00047557800363532646</v>
      </c>
      <c r="H85" s="26">
        <f t="shared" si="22"/>
        <v>-5.4806023650008726E-05</v>
      </c>
      <c r="I85" s="22">
        <f>Val!$D$11*(1-COS(D85))+Val!$D$14+Val!$D$13+Val!$D$12*((1-COS(Calc!E85)))+Val!$D$15</f>
        <v>0.0011207719799853175</v>
      </c>
      <c r="J85" s="22">
        <f>Val!$D$11*((1-COS(Calc!$D85))+1/Val!$D$18*(1-(1-(Val!$D$18*SIN(Calc!$D85))^2)^0.5))+Val!$D$14+Val!$D$13+Val!$D$12*((1-COS(Calc!$E85))+1/Val!$D$19*(1-(1-(Val!$D$19*SIN(Calc!$E85))^2)^0.5))+Val!$D$15</f>
        <v>0.0011755780036353265</v>
      </c>
      <c r="K85" s="44">
        <f t="shared" si="23"/>
        <v>-5.480602365000894E-05</v>
      </c>
      <c r="L85" s="50">
        <f>Val!$D$42*Val!$D$22/Val!$D$37/(1-Val!$D$39*COS(D85-Val!$D$40))</f>
        <v>174551.42718571605</v>
      </c>
      <c r="M85" s="50">
        <f>Val!$D$42*Val!$D$22/(Val!$D$11*((1-COS(Calc!D85))+1/Val!$D$18*(1-(1-(Val!$D$18*SIN(Calc!D85))^2)^0.5))/Val!$D$25+Val!$D$14/Val!$D$25+Val!$D$13/Val!$D$27+Val!$D$12*((1-COS(Calc!E85))+1/Val!$D$19*(1-(1-(Val!$D$19*SIN(Calc!E85))^2)^0.5))/Val!$D$26+Val!$D$15/Val!$D$26)</f>
        <v>168105.06499918416</v>
      </c>
      <c r="N85" s="16">
        <f t="shared" si="28"/>
        <v>1.2490920504142229</v>
      </c>
      <c r="O85" s="16">
        <f t="shared" si="29"/>
        <v>1.2044363741771693</v>
      </c>
      <c r="P85" s="16">
        <f t="shared" si="30"/>
        <v>-7.166561590661797E-06</v>
      </c>
      <c r="Q85" s="16">
        <f t="shared" si="31"/>
        <v>-7.173651482510321E-06</v>
      </c>
      <c r="R85" s="13">
        <f t="shared" si="24"/>
        <v>0.45529830258066234</v>
      </c>
      <c r="S85" s="13">
        <f t="shared" si="25"/>
        <v>0.4775625008160354</v>
      </c>
      <c r="T85" s="13">
        <f t="shared" si="26"/>
        <v>1.029922023042017</v>
      </c>
      <c r="U85" s="13">
        <f t="shared" si="27"/>
        <v>0.9918859525758008</v>
      </c>
      <c r="W85" s="387">
        <f>1*(M85-Val!$D$28)*PI()/4*Val!$D$2^2*(SIN(D85)+Val!$D$18/2*SIN(2*D85)/(1-Val!$D$18^2*SIN(D85)^2)^0.5)*Val!$D$4*(D85-D84)+1*(M85-Val!$D$28)*PI()/4*Val!$D$3^2*(SIN(E85)+Val!$D$19/2*SIN(2*E85)/(1-Val!$D$19^2*SIN(E85)^2)^0.5)*Val!$D$5*(E85-E84)</f>
        <v>0.4733877387056623</v>
      </c>
    </row>
    <row r="86" spans="2:23" ht="13.5">
      <c r="B86" s="32">
        <v>81</v>
      </c>
      <c r="C86" s="32">
        <f>B86-Data!$D$10</f>
        <v>-9</v>
      </c>
      <c r="D86" s="30">
        <f t="shared" si="20"/>
        <v>1.413716694115407</v>
      </c>
      <c r="E86" s="30">
        <f t="shared" si="21"/>
        <v>-0.15707963267948966</v>
      </c>
      <c r="F86" s="26">
        <f>Val!$D$11*(1-COS(D86))+Val!$D$12*(1-COS(E86))</f>
        <v>0.00042793854157597953</v>
      </c>
      <c r="G86" s="26">
        <f>Val!$D$11*((1-COS(Calc!D86))+1/Val!$D$18*(1-(1-(Val!$D$18*SIN(Calc!D86))^2)^0.5))+Val!$D$12*((1-COS(Calc!E86))+1/Val!$D$19*(1-(1-(Val!$D$19*SIN(Calc!E86))^2)^0.5))</f>
        <v>0.0004827516551178368</v>
      </c>
      <c r="H86" s="26">
        <f t="shared" si="22"/>
        <v>-5.481311354185725E-05</v>
      </c>
      <c r="I86" s="22">
        <f>Val!$D$11*(1-COS(D86))+Val!$D$14+Val!$D$13+Val!$D$12*((1-COS(Calc!E86)))+Val!$D$15</f>
        <v>0.0011279385415759794</v>
      </c>
      <c r="J86" s="22">
        <f>Val!$D$11*((1-COS(Calc!$D86))+1/Val!$D$18*(1-(1-(Val!$D$18*SIN(Calc!$D86))^2)^0.5))+Val!$D$14+Val!$D$13+Val!$D$12*((1-COS(Calc!$E86))+1/Val!$D$19*(1-(1-(Val!$D$19*SIN(Calc!$E86))^2)^0.5))+Val!$D$15</f>
        <v>0.0011827516551178368</v>
      </c>
      <c r="K86" s="44">
        <f t="shared" si="23"/>
        <v>-5.481311354185747E-05</v>
      </c>
      <c r="L86" s="50">
        <f>Val!$D$42*Val!$D$22/Val!$D$37/(1-Val!$D$39*COS(D86-Val!$D$40))</f>
        <v>174037.51176704778</v>
      </c>
      <c r="M86" s="50">
        <f>Val!$D$42*Val!$D$22/(Val!$D$11*((1-COS(Calc!D86))+1/Val!$D$18*(1-(1-(Val!$D$18*SIN(Calc!D86))^2)^0.5))/Val!$D$25+Val!$D$14/Val!$D$25+Val!$D$13/Val!$D$27+Val!$D$12*((1-COS(Calc!E86))+1/Val!$D$19*(1-(1-(Val!$D$19*SIN(Calc!E86))^2)^0.5))/Val!$D$26+Val!$D$15/Val!$D$26)</f>
        <v>167689.43996488585</v>
      </c>
      <c r="N86" s="16">
        <f t="shared" si="28"/>
        <v>1.2755105724728544</v>
      </c>
      <c r="O86" s="16">
        <f t="shared" si="29"/>
        <v>1.2303368760687043</v>
      </c>
      <c r="P86" s="16">
        <f t="shared" si="30"/>
        <v>-7.340817013000705E-06</v>
      </c>
      <c r="Q86" s="16">
        <f t="shared" si="31"/>
        <v>-7.34725666659005E-06</v>
      </c>
      <c r="R86" s="13">
        <f t="shared" si="24"/>
        <v>0.4582096203025872</v>
      </c>
      <c r="S86" s="13">
        <f t="shared" si="25"/>
        <v>0.4804766987096471</v>
      </c>
      <c r="T86" s="13">
        <f t="shared" si="26"/>
        <v>1.026889720091528</v>
      </c>
      <c r="U86" s="13">
        <f t="shared" si="27"/>
        <v>0.9894336015234317</v>
      </c>
      <c r="W86" s="387">
        <f>1*(M86-Val!$D$28)*PI()/4*Val!$D$2^2*(SIN(D86)+Val!$D$18/2*SIN(2*D86)/(1-Val!$D$18^2*SIN(D86)^2)^0.5)*Val!$D$4*(D86-D85)+1*(M86-Val!$D$28)*PI()/4*Val!$D$3^2*(SIN(E86)+Val!$D$19/2*SIN(2*E86)/(1-Val!$D$19^2*SIN(E86)^2)^0.5)*Val!$D$5*(E86-E85)</f>
        <v>0.4820422949735224</v>
      </c>
    </row>
    <row r="87" spans="2:23" ht="13.5">
      <c r="B87" s="32">
        <v>82</v>
      </c>
      <c r="C87" s="32">
        <f>B87-Data!$D$10</f>
        <v>-8</v>
      </c>
      <c r="D87" s="30">
        <f t="shared" si="20"/>
        <v>1.4311699866353502</v>
      </c>
      <c r="E87" s="30">
        <f t="shared" si="21"/>
        <v>-0.13962634015954636</v>
      </c>
      <c r="F87" s="26">
        <f>Val!$D$11*(1-COS(D87))+Val!$D$12*(1-COS(E87))</f>
        <v>0.00043527935858898024</v>
      </c>
      <c r="G87" s="26">
        <f>Val!$D$11*((1-COS(Calc!D87))+1/Val!$D$18*(1-(1-(Val!$D$18*SIN(Calc!D87))^2)^0.5))+Val!$D$12*((1-COS(Calc!E87))+1/Val!$D$19*(1-(1-(Val!$D$19*SIN(Calc!E87))^2)^0.5))</f>
        <v>0.0004900989117844268</v>
      </c>
      <c r="H87" s="26">
        <f t="shared" si="22"/>
        <v>-5.4819553195446596E-05</v>
      </c>
      <c r="I87" s="22">
        <f>Val!$D$11*(1-COS(D87))+Val!$D$14+Val!$D$13+Val!$D$12*((1-COS(Calc!E87)))+Val!$D$15</f>
        <v>0.0011352793585889802</v>
      </c>
      <c r="J87" s="22">
        <f>Val!$D$11*((1-COS(Calc!$D87))+1/Val!$D$18*(1-(1-(Val!$D$18*SIN(Calc!$D87))^2)^0.5))+Val!$D$14+Val!$D$13+Val!$D$12*((1-COS(Calc!$E87))+1/Val!$D$19*(1-(1-(Val!$D$19*SIN(Calc!$E87))^2)^0.5))+Val!$D$15</f>
        <v>0.0011900989117844267</v>
      </c>
      <c r="K87" s="44">
        <f t="shared" si="23"/>
        <v>-5.481955319544649E-05</v>
      </c>
      <c r="L87" s="50">
        <f>Val!$D$42*Val!$D$22/Val!$D$37/(1-Val!$D$39*COS(D87-Val!$D$40))</f>
        <v>173474.37150531186</v>
      </c>
      <c r="M87" s="50">
        <f>Val!$D$42*Val!$D$22/(Val!$D$11*((1-COS(Calc!D87))+1/Val!$D$18*(1-(1-(Val!$D$18*SIN(Calc!D87))^2)^0.5))/Val!$D$25+Val!$D$14/Val!$D$25+Val!$D$13/Val!$D$27+Val!$D$12*((1-COS(Calc!E87))+1/Val!$D$19*(1-(1-(Val!$D$19*SIN(Calc!E87))^2)^0.5))/Val!$D$26+Val!$D$15/Val!$D$26)</f>
        <v>167221.1074407612</v>
      </c>
      <c r="N87" s="16">
        <f t="shared" si="28"/>
        <v>1.3009885951092606</v>
      </c>
      <c r="O87" s="16">
        <f t="shared" si="29"/>
        <v>1.2553126759105764</v>
      </c>
      <c r="P87" s="16">
        <f t="shared" si="30"/>
        <v>-7.512836351365162E-06</v>
      </c>
      <c r="Q87" s="16">
        <f t="shared" si="31"/>
        <v>-7.518594379259981E-06</v>
      </c>
      <c r="R87" s="13">
        <f t="shared" si="24"/>
        <v>0.46119172690880195</v>
      </c>
      <c r="S87" s="13">
        <f t="shared" si="25"/>
        <v>0.4834614213371406</v>
      </c>
      <c r="T87" s="13">
        <f t="shared" si="26"/>
        <v>1.0235669712204667</v>
      </c>
      <c r="U87" s="13">
        <f t="shared" si="27"/>
        <v>0.9866702555658553</v>
      </c>
      <c r="W87" s="387">
        <f>1*(M87-Val!$D$28)*PI()/4*Val!$D$2^2*(SIN(D87)+Val!$D$18/2*SIN(2*D87)/(1-Val!$D$18^2*SIN(D87)^2)^0.5)*Val!$D$4*(D87-D86)+1*(M87-Val!$D$28)*PI()/4*Val!$D$3^2*(SIN(E87)+Val!$D$19/2*SIN(2*E87)/(1-Val!$D$19^2*SIN(E87)^2)^0.5)*Val!$D$5*(E87-E86)</f>
        <v>0.49001186580140993</v>
      </c>
    </row>
    <row r="88" spans="2:23" ht="13.5">
      <c r="B88" s="32">
        <v>83</v>
      </c>
      <c r="C88" s="32">
        <f>B88-Data!$D$10</f>
        <v>-7</v>
      </c>
      <c r="D88" s="30">
        <f aca="true" t="shared" si="32" ref="D88:D96">PI()/180*B88</f>
        <v>1.4486232791552935</v>
      </c>
      <c r="E88" s="30">
        <f aca="true" t="shared" si="33" ref="E88:E96">PI()/180*C88</f>
        <v>-0.12217304763960307</v>
      </c>
      <c r="F88" s="26">
        <f>Val!$D$11*(1-COS(D88))+Val!$D$12*(1-COS(E88))</f>
        <v>0.0004427921949403454</v>
      </c>
      <c r="G88" s="26">
        <f>Val!$D$11*((1-COS(Calc!D88))+1/Val!$D$18*(1-(1-(Val!$D$18*SIN(Calc!D88))^2)^0.5))+Val!$D$12*((1-COS(Calc!E88))+1/Val!$D$19*(1-(1-(Val!$D$19*SIN(Calc!E88))^2)^0.5))</f>
        <v>0.0004976175061636868</v>
      </c>
      <c r="H88" s="26">
        <f aca="true" t="shared" si="34" ref="H88:H96">F88-G88</f>
        <v>-5.4825311223341414E-05</v>
      </c>
      <c r="I88" s="22">
        <f>Val!$D$11*(1-COS(D88))+Val!$D$14+Val!$D$13+Val!$D$12*((1-COS(Calc!E88)))+Val!$D$15</f>
        <v>0.0011427921949403454</v>
      </c>
      <c r="J88" s="22">
        <f>Val!$D$11*((1-COS(Calc!$D88))+1/Val!$D$18*(1-(1-(Val!$D$18*SIN(Calc!$D88))^2)^0.5))+Val!$D$14+Val!$D$13+Val!$D$12*((1-COS(Calc!$E88))+1/Val!$D$19*(1-(1-(Val!$D$19*SIN(Calc!$E88))^2)^0.5))+Val!$D$15</f>
        <v>0.001197617506163687</v>
      </c>
      <c r="K88" s="44">
        <f aca="true" t="shared" si="35" ref="K88:K96">I88-J88</f>
        <v>-5.482531122334147E-05</v>
      </c>
      <c r="L88" s="50">
        <f>Val!$D$42*Val!$D$22/Val!$D$37/(1-Val!$D$39*COS(D88-Val!$D$40))</f>
        <v>172863.15915921473</v>
      </c>
      <c r="M88" s="50">
        <f>Val!$D$42*Val!$D$22/(Val!$D$11*((1-COS(Calc!D88))+1/Val!$D$18*(1-(1-(Val!$D$18*SIN(Calc!D88))^2)^0.5))/Val!$D$25+Val!$D$14/Val!$D$25+Val!$D$13/Val!$D$27+Val!$D$12*((1-COS(Calc!E88))+1/Val!$D$19*(1-(1-(Val!$D$19*SIN(Calc!E88))^2)^0.5))/Val!$D$26+Val!$D$15/Val!$D$26)</f>
        <v>166701.06273863194</v>
      </c>
      <c r="N88" s="16">
        <f t="shared" si="28"/>
        <v>1.3255050891630857</v>
      </c>
      <c r="O88" s="16">
        <f t="shared" si="29"/>
        <v>1.2793402040909212</v>
      </c>
      <c r="P88" s="16">
        <f t="shared" si="30"/>
        <v>-7.682567206998558E-06</v>
      </c>
      <c r="Q88" s="16">
        <f t="shared" si="31"/>
        <v>-7.687615543504876E-06</v>
      </c>
      <c r="R88" s="13">
        <f t="shared" si="24"/>
        <v>0.46424371402074566</v>
      </c>
      <c r="S88" s="13">
        <f t="shared" si="25"/>
        <v>0.48651574756923865</v>
      </c>
      <c r="T88" s="13">
        <f t="shared" si="26"/>
        <v>1.0199605781582612</v>
      </c>
      <c r="U88" s="13">
        <f t="shared" si="27"/>
        <v>0.983601787434</v>
      </c>
      <c r="W88" s="387">
        <f>1*(M88-Val!$D$28)*PI()/4*Val!$D$2^2*(SIN(D88)+Val!$D$18/2*SIN(2*D88)/(1-Val!$D$18^2*SIN(D88)^2)^0.5)*Val!$D$4*(D88-D87)+1*(M88-Val!$D$28)*PI()/4*Val!$D$3^2*(SIN(E88)+Val!$D$19/2*SIN(2*E88)/(1-Val!$D$19^2*SIN(E88)^2)^0.5)*Val!$D$5*(E88-E87)</f>
        <v>0.4972766601216817</v>
      </c>
    </row>
    <row r="89" spans="2:23" ht="13.5">
      <c r="B89" s="32">
        <v>84</v>
      </c>
      <c r="C89" s="32">
        <f>B89-Data!$D$10</f>
        <v>-6</v>
      </c>
      <c r="D89" s="30">
        <f t="shared" si="32"/>
        <v>1.4660765716752369</v>
      </c>
      <c r="E89" s="30">
        <f t="shared" si="33"/>
        <v>-0.10471975511965978</v>
      </c>
      <c r="F89" s="26">
        <f>Val!$D$11*(1-COS(D89))+Val!$D$12*(1-COS(E89))</f>
        <v>0.00045047476214734396</v>
      </c>
      <c r="G89" s="26">
        <f>Val!$D$11*((1-COS(Calc!D89))+1/Val!$D$18*(1-(1-(Val!$D$18*SIN(Calc!D89))^2)^0.5))+Val!$D$12*((1-COS(Calc!E89))+1/Val!$D$19*(1-(1-(Val!$D$19*SIN(Calc!E89))^2)^0.5))</f>
        <v>0.0005053051217071917</v>
      </c>
      <c r="H89" s="26">
        <f t="shared" si="34"/>
        <v>-5.483035955984773E-05</v>
      </c>
      <c r="I89" s="22">
        <f>Val!$D$11*(1-COS(D89))+Val!$D$14+Val!$D$13+Val!$D$12*((1-COS(Calc!E89)))+Val!$D$15</f>
        <v>0.001150474762147344</v>
      </c>
      <c r="J89" s="22">
        <f>Val!$D$11*((1-COS(Calc!$D89))+1/Val!$D$18*(1-(1-(Val!$D$18*SIN(Calc!$D89))^2)^0.5))+Val!$D$14+Val!$D$13+Val!$D$12*((1-COS(Calc!$E89))+1/Val!$D$19*(1-(1-(Val!$D$19*SIN(Calc!$E89))^2)^0.5))+Val!$D$15</f>
        <v>0.0012053051217071917</v>
      </c>
      <c r="K89" s="44">
        <f t="shared" si="35"/>
        <v>-5.483035955984768E-05</v>
      </c>
      <c r="L89" s="50">
        <f>Val!$D$42*Val!$D$22/Val!$D$37/(1-Val!$D$39*COS(D89-Val!$D$40))</f>
        <v>172205.11123758584</v>
      </c>
      <c r="M89" s="50">
        <f>Val!$D$42*Val!$D$22/(Val!$D$11*((1-COS(Calc!D89))+1/Val!$D$18*(1-(1-(Val!$D$18*SIN(Calc!D89))^2)^0.5))/Val!$D$25+Val!$D$14/Val!$D$25+Val!$D$13/Val!$D$27+Val!$D$12*((1-COS(Calc!E89))+1/Val!$D$19*(1-(1-(Val!$D$19*SIN(Calc!E89))^2)^0.5))/Val!$D$26+Val!$D$15/Val!$D$26)</f>
        <v>166130.41064893367</v>
      </c>
      <c r="N89" s="16">
        <f t="shared" si="28"/>
        <v>1.349041375341116</v>
      </c>
      <c r="O89" s="16">
        <f t="shared" si="29"/>
        <v>1.3023983935715449</v>
      </c>
      <c r="P89" s="16">
        <f t="shared" si="30"/>
        <v>-7.849957878237977E-06</v>
      </c>
      <c r="Q89" s="16">
        <f t="shared" si="31"/>
        <v>-7.854271916391377E-06</v>
      </c>
      <c r="R89" s="13">
        <f t="shared" si="24"/>
        <v>0.46736465197357896</v>
      </c>
      <c r="S89" s="13">
        <f t="shared" si="25"/>
        <v>0.4896387363397969</v>
      </c>
      <c r="T89" s="13">
        <f t="shared" si="26"/>
        <v>1.0160778367929815</v>
      </c>
      <c r="U89" s="13">
        <f t="shared" si="27"/>
        <v>0.980234715825643</v>
      </c>
      <c r="W89" s="387">
        <f>1*(M89-Val!$D$28)*PI()/4*Val!$D$2^2*(SIN(D89)+Val!$D$18/2*SIN(2*D89)/(1-Val!$D$18^2*SIN(D89)^2)^0.5)*Val!$D$4*(D89-D88)+1*(M89-Val!$D$28)*PI()/4*Val!$D$3^2*(SIN(E89)+Val!$D$19/2*SIN(2*E89)/(1-Val!$D$19^2*SIN(E89)^2)^0.5)*Val!$D$5*(E89-E88)</f>
        <v>0.5038192828070713</v>
      </c>
    </row>
    <row r="90" spans="2:23" ht="13.5">
      <c r="B90" s="32">
        <v>85</v>
      </c>
      <c r="C90" s="32">
        <f>B90-Data!$D$10</f>
        <v>-5</v>
      </c>
      <c r="D90" s="30">
        <f t="shared" si="32"/>
        <v>1.4835298641951802</v>
      </c>
      <c r="E90" s="30">
        <f t="shared" si="33"/>
        <v>-0.08726646259971647</v>
      </c>
      <c r="F90" s="26">
        <f>Val!$D$11*(1-COS(D90))+Val!$D$12*(1-COS(E90))</f>
        <v>0.00045832472002558193</v>
      </c>
      <c r="G90" s="26">
        <f>Val!$D$11*((1-COS(Calc!D90))+1/Val!$D$18*(1-(1-(Val!$D$18*SIN(Calc!D90))^2)^0.5))+Val!$D$12*((1-COS(Calc!E90))+1/Val!$D$19*(1-(1-(Val!$D$19*SIN(Calc!E90))^2)^0.5))</f>
        <v>0.0005131593936235831</v>
      </c>
      <c r="H90" s="26">
        <f t="shared" si="34"/>
        <v>-5.483467359800113E-05</v>
      </c>
      <c r="I90" s="22">
        <f>Val!$D$11*(1-COS(D90))+Val!$D$14+Val!$D$13+Val!$D$12*((1-COS(Calc!E90)))+Val!$D$15</f>
        <v>0.001158324720025582</v>
      </c>
      <c r="J90" s="22">
        <f>Val!$D$11*((1-COS(Calc!$D90))+1/Val!$D$18*(1-(1-(Val!$D$18*SIN(Calc!$D90))^2)^0.5))+Val!$D$14+Val!$D$13+Val!$D$12*((1-COS(Calc!$E90))+1/Val!$D$19*(1-(1-(Val!$D$19*SIN(Calc!$E90))^2)^0.5))+Val!$D$15</f>
        <v>0.001213159393623583</v>
      </c>
      <c r="K90" s="44">
        <f t="shared" si="35"/>
        <v>-5.483467359800108E-05</v>
      </c>
      <c r="L90" s="50">
        <f>Val!$D$42*Val!$D$22/Val!$D$37/(1-Val!$D$39*COS(D90-Val!$D$40))</f>
        <v>171501.54203783927</v>
      </c>
      <c r="M90" s="50">
        <f>Val!$D$42*Val!$D$22/(Val!$D$11*((1-COS(Calc!D90))+1/Val!$D$18*(1-(1-(Val!$D$18*SIN(Calc!D90))^2)^0.5))/Val!$D$25+Val!$D$14/Val!$D$25+Val!$D$13/Val!$D$27+Val!$D$12*((1-COS(Calc!E90))+1/Val!$D$19*(1-(1-(Val!$D$19*SIN(Calc!E90))^2)^0.5))/Val!$D$26+Val!$D$15/Val!$D$26)</f>
        <v>165510.35947859922</v>
      </c>
      <c r="N90" s="16">
        <f t="shared" si="28"/>
        <v>1.3715811391261976</v>
      </c>
      <c r="O90" s="16">
        <f t="shared" si="29"/>
        <v>1.3244687150336512</v>
      </c>
      <c r="P90" s="16">
        <f t="shared" si="30"/>
        <v>-8.01495737626348E-06</v>
      </c>
      <c r="Q90" s="16">
        <f t="shared" si="31"/>
        <v>-8.018516087946511E-06</v>
      </c>
      <c r="R90" s="13">
        <f t="shared" si="24"/>
        <v>0.4705535900993682</v>
      </c>
      <c r="S90" s="13">
        <f t="shared" si="25"/>
        <v>0.49282942698463866</v>
      </c>
      <c r="T90" s="13">
        <f t="shared" si="26"/>
        <v>1.0119265019959187</v>
      </c>
      <c r="U90" s="13">
        <f t="shared" si="27"/>
        <v>0.9765761702265803</v>
      </c>
      <c r="W90" s="387">
        <f>1*(M90-Val!$D$28)*PI()/4*Val!$D$2^2*(SIN(D90)+Val!$D$18/2*SIN(2*D90)/(1-Val!$D$18^2*SIN(D90)^2)^0.5)*Val!$D$4*(D90-D89)+1*(M90-Val!$D$28)*PI()/4*Val!$D$3^2*(SIN(E90)+Val!$D$19/2*SIN(2*E90)/(1-Val!$D$19^2*SIN(E90)^2)^0.5)*Val!$D$5*(E90-E89)</f>
        <v>0.5096247775759063</v>
      </c>
    </row>
    <row r="91" spans="2:23" ht="13.5">
      <c r="B91" s="32">
        <v>86</v>
      </c>
      <c r="C91" s="32">
        <f>B91-Data!$D$10</f>
        <v>-4</v>
      </c>
      <c r="D91" s="30">
        <f t="shared" si="32"/>
        <v>1.5009831567151235</v>
      </c>
      <c r="E91" s="30">
        <f t="shared" si="33"/>
        <v>-0.06981317007977318</v>
      </c>
      <c r="F91" s="26">
        <f>Val!$D$11*(1-COS(D91))+Val!$D$12*(1-COS(E91))</f>
        <v>0.0004663396774018454</v>
      </c>
      <c r="G91" s="26">
        <f>Val!$D$11*((1-COS(Calc!D91))+1/Val!$D$18*(1-(1-(Val!$D$18*SIN(Calc!D91))^2)^0.5))+Val!$D$12*((1-COS(Calc!E91))+1/Val!$D$19*(1-(1-(Val!$D$19*SIN(Calc!E91))^2)^0.5))</f>
        <v>0.0005211779097115296</v>
      </c>
      <c r="H91" s="26">
        <f t="shared" si="34"/>
        <v>-5.4838232309684164E-05</v>
      </c>
      <c r="I91" s="22">
        <f>Val!$D$11*(1-COS(D91))+Val!$D$14+Val!$D$13+Val!$D$12*((1-COS(Calc!E91)))+Val!$D$15</f>
        <v>0.0011663396774018453</v>
      </c>
      <c r="J91" s="22">
        <f>Val!$D$11*((1-COS(Calc!$D91))+1/Val!$D$18*(1-(1-(Val!$D$18*SIN(Calc!$D91))^2)^0.5))+Val!$D$14+Val!$D$13+Val!$D$12*((1-COS(Calc!$E91))+1/Val!$D$19*(1-(1-(Val!$D$19*SIN(Calc!$E91))^2)^0.5))+Val!$D$15</f>
        <v>0.0012211779097115296</v>
      </c>
      <c r="K91" s="44">
        <f t="shared" si="35"/>
        <v>-5.483823230968427E-05</v>
      </c>
      <c r="L91" s="50">
        <f>Val!$D$42*Val!$D$22/Val!$D$37/(1-Val!$D$39*COS(D91-Val!$D$40))</f>
        <v>170753.83743259966</v>
      </c>
      <c r="M91" s="50">
        <f>Val!$D$42*Val!$D$22/(Val!$D$11*((1-COS(Calc!D91))+1/Val!$D$18*(1-(1-(Val!$D$18*SIN(Calc!D91))^2)^0.5))/Val!$D$25+Val!$D$14/Val!$D$25+Val!$D$13/Val!$D$27+Val!$D$12*((1-COS(Calc!E91))+1/Val!$D$19*(1-(1-(Val!$D$19*SIN(Calc!E91))^2)^0.5))/Val!$D$26+Val!$D$15/Val!$D$26)</f>
        <v>164842.21461540344</v>
      </c>
      <c r="N91" s="16">
        <f t="shared" si="28"/>
        <v>1.3931104331250241</v>
      </c>
      <c r="O91" s="16">
        <f t="shared" si="29"/>
        <v>1.345535196703513</v>
      </c>
      <c r="P91" s="16">
        <f t="shared" si="30"/>
        <v>-8.177515440629414E-06</v>
      </c>
      <c r="Q91" s="16">
        <f t="shared" si="31"/>
        <v>-8.18030147922298E-06</v>
      </c>
      <c r="R91" s="13">
        <f t="shared" si="24"/>
        <v>0.4738095570166682</v>
      </c>
      <c r="S91" s="13">
        <f t="shared" si="25"/>
        <v>0.49608683957993355</v>
      </c>
      <c r="T91" s="13">
        <f t="shared" si="26"/>
        <v>1.0075147509602373</v>
      </c>
      <c r="U91" s="390">
        <f t="shared" si="27"/>
        <v>0.9726338529377301</v>
      </c>
      <c r="W91" s="387">
        <f>1*(M91-Val!$D$28)*PI()/4*Val!$D$2^2*(SIN(D91)+Val!$D$18/2*SIN(2*D91)/(1-Val!$D$18^2*SIN(D91)^2)^0.5)*Val!$D$4*(D91-D90)+1*(M91-Val!$D$28)*PI()/4*Val!$D$3^2*(SIN(E91)+Val!$D$19/2*SIN(2*E91)/(1-Val!$D$19^2*SIN(E91)^2)^0.5)*Val!$D$5*(E91-E90)</f>
        <v>0.5146806545841976</v>
      </c>
    </row>
    <row r="92" spans="2:23" ht="13.5">
      <c r="B92" s="32">
        <v>87</v>
      </c>
      <c r="C92" s="32">
        <f>B92-Data!$D$10</f>
        <v>-3</v>
      </c>
      <c r="D92" s="30">
        <f t="shared" si="32"/>
        <v>1.5184364492350666</v>
      </c>
      <c r="E92" s="30">
        <f t="shared" si="33"/>
        <v>-0.05235987755982989</v>
      </c>
      <c r="F92" s="26">
        <f>Val!$D$11*(1-COS(D92))+Val!$D$12*(1-COS(E92))</f>
        <v>0.00047451719284247483</v>
      </c>
      <c r="G92" s="26">
        <f>Val!$D$11*((1-COS(Calc!D92))+1/Val!$D$18*(1-(1-(Val!$D$18*SIN(Calc!D92))^2)^0.5))+Val!$D$12*((1-COS(Calc!E92))+1/Val!$D$19*(1-(1-(Val!$D$19*SIN(Calc!E92))^2)^0.5))</f>
        <v>0.0005293582111907526</v>
      </c>
      <c r="H92" s="26">
        <f t="shared" si="34"/>
        <v>-5.484101834827773E-05</v>
      </c>
      <c r="I92" s="22">
        <f>Val!$D$11*(1-COS(D92))+Val!$D$14+Val!$D$13+Val!$D$12*((1-COS(Calc!E92)))+Val!$D$15</f>
        <v>0.0011745171928424748</v>
      </c>
      <c r="J92" s="22">
        <f>Val!$D$11*((1-COS(Calc!$D92))+1/Val!$D$18*(1-(1-(Val!$D$18*SIN(Calc!$D92))^2)^0.5))+Val!$D$14+Val!$D$13+Val!$D$12*((1-COS(Calc!$E92))+1/Val!$D$19*(1-(1-(Val!$D$19*SIN(Calc!$E92))^2)^0.5))+Val!$D$15</f>
        <v>0.0012293582111907524</v>
      </c>
      <c r="K92" s="44">
        <f t="shared" si="35"/>
        <v>-5.4841018348277676E-05</v>
      </c>
      <c r="L92" s="50">
        <f>Val!$D$42*Val!$D$22/Val!$D$37/(1-Val!$D$39*COS(D92-Val!$D$40))</f>
        <v>169963.4484568144</v>
      </c>
      <c r="M92" s="50">
        <f>Val!$D$42*Val!$D$22/(Val!$D$11*((1-COS(Calc!D92))+1/Val!$D$18*(1-(1-(Val!$D$18*SIN(Calc!D92))^2)^0.5))/Val!$D$25+Val!$D$14/Val!$D$25+Val!$D$13/Val!$D$27+Val!$D$12*((1-COS(Calc!E92))+1/Val!$D$19*(1-(1-(Val!$D$19*SIN(Calc!E92))^2)^0.5))/Val!$D$26+Val!$D$15/Val!$D$26)</f>
        <v>164127.37168188262</v>
      </c>
      <c r="N92" s="16">
        <f t="shared" si="28"/>
        <v>1.413617667231901</v>
      </c>
      <c r="O92" s="16">
        <f t="shared" si="29"/>
        <v>1.3655844291071415</v>
      </c>
      <c r="P92" s="16">
        <f t="shared" si="30"/>
        <v>-8.337582554575026E-06</v>
      </c>
      <c r="Q92" s="16">
        <f t="shared" si="31"/>
        <v>-8.339582339643957E-06</v>
      </c>
      <c r="R92" s="13">
        <f t="shared" si="24"/>
        <v>0.4771315609264149</v>
      </c>
      <c r="S92" s="13">
        <f t="shared" si="25"/>
        <v>0.49940997527979025</v>
      </c>
      <c r="T92" s="13">
        <f t="shared" si="26"/>
        <v>1.002851145362417</v>
      </c>
      <c r="U92" s="13">
        <f t="shared" si="27"/>
        <v>0.9684159986805676</v>
      </c>
      <c r="W92" s="387">
        <f>1*(M92-Val!$D$28)*PI()/4*Val!$D$2^2*(SIN(D92)+Val!$D$18/2*SIN(2*D92)/(1-Val!$D$18^2*SIN(D92)^2)^0.5)*Val!$D$4*(D92-D91)+1*(M92-Val!$D$28)*PI()/4*Val!$D$3^2*(SIN(E92)+Val!$D$19/2*SIN(2*E92)/(1-Val!$D$19^2*SIN(E92)^2)^0.5)*Val!$D$5*(E92-E91)</f>
        <v>0.51897690286662</v>
      </c>
    </row>
    <row r="93" spans="2:23" ht="13.5">
      <c r="B93" s="32">
        <v>88</v>
      </c>
      <c r="C93" s="32">
        <f>B93-Data!$D$10</f>
        <v>-2</v>
      </c>
      <c r="D93" s="30">
        <f t="shared" si="32"/>
        <v>1.53588974175501</v>
      </c>
      <c r="E93" s="30">
        <f t="shared" si="33"/>
        <v>-0.03490658503988659</v>
      </c>
      <c r="F93" s="26">
        <f>Val!$D$11*(1-COS(D93))+Val!$D$12*(1-COS(E93))</f>
        <v>0.00048285477539704985</v>
      </c>
      <c r="G93" s="26">
        <f>Val!$D$11*((1-COS(Calc!D93))+1/Val!$D$18*(1-(1-(Val!$D$18*SIN(Calc!D93))^2)^0.5))+Val!$D$12*((1-COS(Calc!E93))+1/Val!$D$19*(1-(1-(Val!$D$19*SIN(Calc!E93))^2)^0.5))</f>
        <v>0.0005376977935303965</v>
      </c>
      <c r="H93" s="26">
        <f t="shared" si="34"/>
        <v>-5.484301813334666E-05</v>
      </c>
      <c r="I93" s="22">
        <f>Val!$D$11*(1-COS(D93))+Val!$D$14+Val!$D$13+Val!$D$12*((1-COS(Calc!E93)))+Val!$D$15</f>
        <v>0.0011828547753970498</v>
      </c>
      <c r="J93" s="22">
        <f>Val!$D$11*((1-COS(Calc!$D93))+1/Val!$D$18*(1-(1-(Val!$D$18*SIN(Calc!$D93))^2)^0.5))+Val!$D$14+Val!$D$13+Val!$D$12*((1-COS(Calc!$E93))+1/Val!$D$19*(1-(1-(Val!$D$19*SIN(Calc!$E93))^2)^0.5))+Val!$D$15</f>
        <v>0.0012376977935303964</v>
      </c>
      <c r="K93" s="44">
        <f t="shared" si="35"/>
        <v>-5.484301813334655E-05</v>
      </c>
      <c r="L93" s="50">
        <f>Val!$D$42*Val!$D$22/Val!$D$37/(1-Val!$D$39*COS(D93-Val!$D$40))</f>
        <v>169131.88474770225</v>
      </c>
      <c r="M93" s="50">
        <f>Val!$D$42*Val!$D$22/(Val!$D$11*((1-COS(Calc!D93))+1/Val!$D$18*(1-(1-(Val!$D$18*SIN(Calc!D93))^2)^0.5))/Val!$D$25+Val!$D$14/Val!$D$25+Val!$D$13/Val!$D$27+Val!$D$12*((1-COS(Calc!E93))+1/Val!$D$19*(1-(1-(Val!$D$19*SIN(Calc!E93))^2)^0.5))/Val!$D$26+Val!$D$15/Val!$D$26)</f>
        <v>163367.30934441983</v>
      </c>
      <c r="N93" s="16">
        <f t="shared" si="28"/>
        <v>1.4330935870882464</v>
      </c>
      <c r="O93" s="16">
        <f t="shared" si="29"/>
        <v>1.3846055551528735</v>
      </c>
      <c r="P93" s="16">
        <f t="shared" si="30"/>
        <v>-8.495109960106307E-06</v>
      </c>
      <c r="Q93" s="16">
        <f t="shared" si="31"/>
        <v>-8.49631374370038E-06</v>
      </c>
      <c r="R93" s="13">
        <f t="shared" si="24"/>
        <v>0.4805185899140364</v>
      </c>
      <c r="S93" s="13">
        <f t="shared" si="25"/>
        <v>0.5027978166527708</v>
      </c>
      <c r="T93" s="13">
        <f t="shared" si="26"/>
        <v>0.9979445926553693</v>
      </c>
      <c r="U93" s="13">
        <f t="shared" si="27"/>
        <v>0.9639313321679023</v>
      </c>
      <c r="W93" s="387">
        <f>1*(M93-Val!$D$28)*PI()/4*Val!$D$2^2*(SIN(D93)+Val!$D$18/2*SIN(2*D93)/(1-Val!$D$18^2*SIN(D93)^2)^0.5)*Val!$D$4*(D93-D92)+1*(M93-Val!$D$28)*PI()/4*Val!$D$3^2*(SIN(E93)+Val!$D$19/2*SIN(2*E93)/(1-Val!$D$19^2*SIN(E93)^2)^0.5)*Val!$D$5*(E93-E92)</f>
        <v>0.522505987944839</v>
      </c>
    </row>
    <row r="94" spans="2:23" ht="13.5">
      <c r="B94" s="32">
        <v>89</v>
      </c>
      <c r="C94" s="32">
        <f>B94-Data!$D$10</f>
        <v>-1</v>
      </c>
      <c r="D94" s="30">
        <f t="shared" si="32"/>
        <v>1.5533430342749532</v>
      </c>
      <c r="E94" s="30">
        <f t="shared" si="33"/>
        <v>-0.017453292519943295</v>
      </c>
      <c r="F94" s="26">
        <f>Val!$D$11*(1-COS(D94))+Val!$D$12*(1-COS(E94))</f>
        <v>0.0004913498853571562</v>
      </c>
      <c r="G94" s="26">
        <f>Val!$D$11*((1-COS(Calc!D94))+1/Val!$D$18*(1-(1-(Val!$D$18*SIN(Calc!D94))^2)^0.5))+Val!$D$12*((1-COS(Calc!E94))+1/Val!$D$19*(1-(1-(Val!$D$19*SIN(Calc!E94))^2)^0.5))</f>
        <v>0.0005461941072740969</v>
      </c>
      <c r="H94" s="26">
        <f t="shared" si="34"/>
        <v>-5.4844221916940735E-05</v>
      </c>
      <c r="I94" s="22">
        <f>Val!$D$11*(1-COS(D94))+Val!$D$14+Val!$D$13+Val!$D$12*((1-COS(Calc!E94)))+Val!$D$15</f>
        <v>0.001191349885357156</v>
      </c>
      <c r="J94" s="22">
        <f>Val!$D$11*((1-COS(Calc!$D94))+1/Val!$D$18*(1-(1-(Val!$D$18*SIN(Calc!$D94))^2)^0.5))+Val!$D$14+Val!$D$13+Val!$D$12*((1-COS(Calc!$E94))+1/Val!$D$19*(1-(1-(Val!$D$19*SIN(Calc!$E94))^2)^0.5))+Val!$D$15</f>
        <v>0.0012461941072740969</v>
      </c>
      <c r="K94" s="44">
        <f t="shared" si="35"/>
        <v>-5.484422191694084E-05</v>
      </c>
      <c r="L94" s="50">
        <f>Val!$D$42*Val!$D$22/Val!$D$37/(1-Val!$D$39*COS(D94-Val!$D$40))</f>
        <v>168260.70788928133</v>
      </c>
      <c r="M94" s="50">
        <f>Val!$D$42*Val!$D$22/(Val!$D$11*((1-COS(Calc!D94))+1/Val!$D$18*(1-(1-(Val!$D$18*SIN(Calc!D94))^2)^0.5))/Val!$D$25+Val!$D$14/Val!$D$25+Val!$D$13/Val!$D$27+Val!$D$12*((1-COS(Calc!E94))+1/Val!$D$19*(1-(1-(Val!$D$19*SIN(Calc!E94))^2)^0.5))/Val!$D$26+Val!$D$15/Val!$D$26)</f>
        <v>162563.58184459165</v>
      </c>
      <c r="N94" s="16">
        <f t="shared" si="28"/>
        <v>1.451531241408589</v>
      </c>
      <c r="O94" s="16">
        <f t="shared" si="29"/>
        <v>1.4025902460850779</v>
      </c>
      <c r="P94" s="16">
        <f t="shared" si="30"/>
        <v>-8.650049672849838E-06</v>
      </c>
      <c r="Q94" s="16">
        <f t="shared" si="31"/>
        <v>-8.65045158709673E-06</v>
      </c>
      <c r="R94" s="13">
        <f t="shared" si="24"/>
        <v>0.483969612257692</v>
      </c>
      <c r="S94" s="13">
        <f t="shared" si="25"/>
        <v>0.506249328017063</v>
      </c>
      <c r="T94" s="13">
        <f t="shared" si="26"/>
        <v>0.992804306798539</v>
      </c>
      <c r="U94" s="13">
        <f t="shared" si="27"/>
        <v>0.9591890240358879</v>
      </c>
      <c r="W94" s="387">
        <f>1*(M94-Val!$D$28)*PI()/4*Val!$D$2^2*(SIN(D94)+Val!$D$18/2*SIN(2*D94)/(1-Val!$D$18^2*SIN(D94)^2)^0.5)*Val!$D$4*(D94-D93)+1*(M94-Val!$D$28)*PI()/4*Val!$D$3^2*(SIN(E94)+Val!$D$19/2*SIN(2*E94)/(1-Val!$D$19^2*SIN(E94)^2)^0.5)*Val!$D$5*(E94-E93)</f>
        <v>0.5252628350679538</v>
      </c>
    </row>
    <row r="95" spans="2:24" ht="13.5">
      <c r="B95" s="90">
        <v>90</v>
      </c>
      <c r="C95" s="90">
        <f>B95-Data!$D$10</f>
        <v>0</v>
      </c>
      <c r="D95" s="91">
        <f t="shared" si="32"/>
        <v>1.5707963267948966</v>
      </c>
      <c r="E95" s="91">
        <f t="shared" si="33"/>
        <v>0</v>
      </c>
      <c r="F95" s="92">
        <f>Val!$D$11*(1-COS(D95))+Val!$D$12*(1-COS(E95))</f>
        <v>0.000499999935030006</v>
      </c>
      <c r="G95" s="92">
        <f>Val!$D$11*((1-COS(Calc!D95))+1/Val!$D$18*(1-(1-(Val!$D$18*SIN(Calc!D95))^2)^0.5))+Val!$D$12*((1-COS(Calc!E95))+1/Val!$D$19*(1-(1-(Val!$D$19*SIN(Calc!E95))^2)^0.5))</f>
        <v>0.0005548445588611936</v>
      </c>
      <c r="H95" s="92">
        <f t="shared" si="34"/>
        <v>-5.484462383118763E-05</v>
      </c>
      <c r="I95" s="92">
        <f>Val!$D$11*(1-COS(D95))+Val!$D$14+Val!$D$13+Val!$D$12*((1-COS(Calc!E95)))+Val!$D$15</f>
        <v>0.0011999999350300059</v>
      </c>
      <c r="J95" s="92">
        <f>Val!$D$11*((1-COS(Calc!$D95))+1/Val!$D$18*(1-(1-(Val!$D$18*SIN(Calc!$D95))^2)^0.5))+Val!$D$14+Val!$D$13+Val!$D$12*((1-COS(Calc!$E95))+1/Val!$D$19*(1-(1-(Val!$D$19*SIN(Calc!$E95))^2)^0.5))+Val!$D$15</f>
        <v>0.0012548445588611936</v>
      </c>
      <c r="K95" s="93">
        <f t="shared" si="35"/>
        <v>-5.4844623831187735E-05</v>
      </c>
      <c r="L95" s="229">
        <f>Val!$D$42*Val!$D$22/Val!$D$37/(1-Val!$D$39*COS(D95-Val!$D$40))</f>
        <v>167351.524712007</v>
      </c>
      <c r="M95" s="229">
        <f>Val!$D$42*Val!$D$22/(Val!$D$11*((1-COS(Calc!D95))+1/Val!$D$18*(1-(1-(Val!$D$18*SIN(Calc!D95))^2)^0.5))/Val!$D$25+Val!$D$14/Val!$D$25+Val!$D$13/Val!$D$27+Val!$D$12*((1-COS(Calc!E95))+1/Val!$D$19*(1-(1-(Val!$D$19*SIN(Calc!E95))^2)^0.5))/Val!$D$26+Val!$D$15/Val!$D$26)</f>
        <v>161717.81132041328</v>
      </c>
      <c r="N95" s="394">
        <f t="shared" si="28"/>
        <v>1.468925938823663</v>
      </c>
      <c r="O95" s="394">
        <f t="shared" si="29"/>
        <v>1.4195326639760044</v>
      </c>
      <c r="P95" s="394">
        <f t="shared" si="30"/>
        <v>-8.802354496668268E-06</v>
      </c>
      <c r="Q95" s="394">
        <f t="shared" si="31"/>
        <v>-8.801952582421268E-06</v>
      </c>
      <c r="R95" s="91">
        <f t="shared" si="24"/>
        <v>0.4874835767425451</v>
      </c>
      <c r="S95" s="91">
        <f t="shared" si="25"/>
        <v>0.5097634557740871</v>
      </c>
      <c r="T95" s="91">
        <f t="shared" si="26"/>
        <v>0.9874397687231335</v>
      </c>
      <c r="U95" s="91">
        <f t="shared" si="27"/>
        <v>0.9541986455363509</v>
      </c>
      <c r="V95" s="403" t="s">
        <v>282</v>
      </c>
      <c r="W95" s="404">
        <f>1*(M95-Val!$D$28)*PI()/4*Val!$D$2^2*(SIN(D95)+Val!$D$18/2*SIN(2*D95)/(1-Val!$D$18^2*SIN(D95)^2)^0.5)*Val!$D$4*(D95-D94)+1*(M95-Val!$D$28)*PI()/4*Val!$D$3^2*(SIN(E95)+Val!$D$19/2*SIN(2*E95)/(1-Val!$D$19^2*SIN(E95)^2)^0.5)*Val!$D$5*(E95-E94)</f>
        <v>0.5272447986847664</v>
      </c>
      <c r="X95" s="450"/>
    </row>
    <row r="96" spans="2:23" ht="13.5">
      <c r="B96" s="32">
        <v>91</v>
      </c>
      <c r="C96" s="32">
        <f>B96-Data!$D$10</f>
        <v>1</v>
      </c>
      <c r="D96" s="30">
        <f t="shared" si="32"/>
        <v>1.5882496193148399</v>
      </c>
      <c r="E96" s="30">
        <f t="shared" si="33"/>
        <v>0.017453292519943295</v>
      </c>
      <c r="F96" s="26">
        <f>Val!$D$11*(1-COS(D96))+Val!$D$12*(1-COS(E96))</f>
        <v>0.0005088022895266743</v>
      </c>
      <c r="G96" s="26">
        <f>Val!$D$11*((1-COS(Calc!D96))+1/Val!$D$18*(1-(1-(Val!$D$18*SIN(Calc!D96))^2)^0.5))+Val!$D$12*((1-COS(Calc!E96))+1/Val!$D$19*(1-(1-(Val!$D$19*SIN(Calc!E96))^2)^0.5))</f>
        <v>0.0005636465114436149</v>
      </c>
      <c r="H96" s="26">
        <f t="shared" si="34"/>
        <v>-5.4844221916940626E-05</v>
      </c>
      <c r="I96" s="22">
        <f>Val!$D$11*(1-COS(D96))+Val!$D$14+Val!$D$13+Val!$D$12*((1-COS(Calc!E96)))+Val!$D$15</f>
        <v>0.0012088022895266743</v>
      </c>
      <c r="J96" s="22">
        <f>Val!$D$11*((1-COS(Calc!$D96))+1/Val!$D$18*(1-(1-(Val!$D$18*SIN(Calc!$D96))^2)^0.5))+Val!$D$14+Val!$D$13+Val!$D$12*((1-COS(Calc!$E96))+1/Val!$D$19*(1-(1-(Val!$D$19*SIN(Calc!$E96))^2)^0.5))+Val!$D$15</f>
        <v>0.0012636465114436149</v>
      </c>
      <c r="K96" s="44">
        <f t="shared" si="35"/>
        <v>-5.4844221916940626E-05</v>
      </c>
      <c r="L96" s="50">
        <f>Val!$D$42*Val!$D$22/Val!$D$37/(1-Val!$D$39*COS(D96-Val!$D$40))</f>
        <v>166405.9805962921</v>
      </c>
      <c r="M96" s="50">
        <f>Val!$D$42*Val!$D$22/(Val!$D$11*((1-COS(Calc!D96))+1/Val!$D$18*(1-(1-(Val!$D$18*SIN(Calc!D96))^2)^0.5))/Val!$D$25+Val!$D$14/Val!$D$25+Val!$D$13/Val!$D$27+Val!$D$12*((1-COS(Calc!E96))+1/Val!$D$19*(1-(1-(Val!$D$19*SIN(Calc!E96))^2)^0.5))/Val!$D$26+Val!$D$15/Val!$D$26)</f>
        <v>160831.6799847342</v>
      </c>
      <c r="N96" s="16">
        <f t="shared" si="28"/>
        <v>1.4852751949618428</v>
      </c>
      <c r="O96" s="16">
        <f t="shared" si="29"/>
        <v>1.4354294115402968</v>
      </c>
      <c r="P96" s="16">
        <f t="shared" si="30"/>
        <v>-8.951978038036399E-06</v>
      </c>
      <c r="Q96" s="16">
        <f t="shared" si="31"/>
        <v>-8.950774254442434E-06</v>
      </c>
      <c r="R96" s="13">
        <f t="shared" si="24"/>
        <v>0.4910594129809733</v>
      </c>
      <c r="S96" s="13">
        <f t="shared" si="25"/>
        <v>0.5133391287403442</v>
      </c>
      <c r="T96" s="13">
        <f t="shared" si="26"/>
        <v>0.9818606868202601</v>
      </c>
      <c r="U96" s="13">
        <f t="shared" si="27"/>
        <v>0.9489701223862508</v>
      </c>
      <c r="W96" s="387">
        <f>1*(M96-Val!$D$28)*PI()/4*Val!$D$2^2*(SIN(D96)+Val!$D$18/2*SIN(2*D96)/(1-Val!$D$18^2*SIN(D96)^2)^0.5)*Val!$D$4*(D96-D95)+1*(M96-Val!$D$28)*PI()/4*Val!$D$3^2*(SIN(E96)+Val!$D$19/2*SIN(2*E96)/(1-Val!$D$19^2*SIN(E96)^2)^0.5)*Val!$D$5*(E96-E95)</f>
        <v>0.5284516188679691</v>
      </c>
    </row>
    <row r="97" spans="2:23" ht="13.5">
      <c r="B97" s="32">
        <v>92</v>
      </c>
      <c r="C97" s="32">
        <f>B97-Data!$D$10</f>
        <v>2</v>
      </c>
      <c r="D97" s="30">
        <f aca="true" t="shared" si="36" ref="D97:D139">PI()/180*B97</f>
        <v>1.6057029118347832</v>
      </c>
      <c r="E97" s="30">
        <f aca="true" t="shared" si="37" ref="E97:E139">PI()/180*C97</f>
        <v>0.03490658503988659</v>
      </c>
      <c r="F97" s="26">
        <f>Val!$D$11*(1-COS(D97))+Val!$D$12*(1-COS(E97))</f>
        <v>0.0005177542675647107</v>
      </c>
      <c r="G97" s="26">
        <f>Val!$D$11*((1-COS(Calc!D97))+1/Val!$D$18*(1-(1-(Val!$D$18*SIN(Calc!D97))^2)^0.5))+Val!$D$12*((1-COS(Calc!E97))+1/Val!$D$19*(1-(1-(Val!$D$19*SIN(Calc!E97))^2)^0.5))</f>
        <v>0.0005725972856980573</v>
      </c>
      <c r="H97" s="26">
        <f aca="true" t="shared" si="38" ref="H97:H139">F97-G97</f>
        <v>-5.484301813334666E-05</v>
      </c>
      <c r="I97" s="22">
        <f>Val!$D$11*(1-COS(D97))+Val!$D$14+Val!$D$13+Val!$D$12*((1-COS(Calc!E97)))+Val!$D$15</f>
        <v>0.0012177542675647106</v>
      </c>
      <c r="J97" s="22">
        <f>Val!$D$11*((1-COS(Calc!$D97))+1/Val!$D$18*(1-(1-(Val!$D$18*SIN(Calc!$D97))^2)^0.5))+Val!$D$14+Val!$D$13+Val!$D$12*((1-COS(Calc!$E97))+1/Val!$D$19*(1-(1-(Val!$D$19*SIN(Calc!$E97))^2)^0.5))+Val!$D$15</f>
        <v>0.0012725972856980573</v>
      </c>
      <c r="K97" s="44">
        <f aca="true" t="shared" si="39" ref="K97:K139">I97-J97</f>
        <v>-5.484301813334677E-05</v>
      </c>
      <c r="L97" s="50">
        <f>Val!$D$42*Val!$D$22/Val!$D$37/(1-Val!$D$39*COS(D97-Val!$D$40))</f>
        <v>165425.752826426</v>
      </c>
      <c r="M97" s="50">
        <f>Val!$D$42*Val!$D$22/(Val!$D$11*((1-COS(Calc!D97))+1/Val!$D$18*(1-(1-(Val!$D$18*SIN(Calc!D97))^2)^0.5))/Val!$D$25+Val!$D$14/Val!$D$25+Val!$D$13/Val!$D$27+Val!$D$12*((1-COS(Calc!E97))+1/Val!$D$19*(1-(1-(Val!$D$19*SIN(Calc!E97))^2)^0.5))/Val!$D$26+Val!$D$15/Val!$D$26)</f>
        <v>159906.922226771</v>
      </c>
      <c r="N97" s="16">
        <f t="shared" si="28"/>
        <v>1.5005786705458712</v>
      </c>
      <c r="O97" s="16">
        <f t="shared" si="29"/>
        <v>1.4502794701507655</v>
      </c>
      <c r="P97" s="16">
        <f t="shared" si="30"/>
        <v>-9.098874720174575E-06</v>
      </c>
      <c r="Q97" s="16">
        <f t="shared" si="31"/>
        <v>-9.09687493510559E-06</v>
      </c>
      <c r="R97" s="13">
        <f t="shared" si="24"/>
        <v>0.49469603173861804</v>
      </c>
      <c r="S97" s="13">
        <f t="shared" si="25"/>
        <v>0.5169752584773525</v>
      </c>
      <c r="T97" s="13">
        <f t="shared" si="26"/>
        <v>0.9760769577264364</v>
      </c>
      <c r="U97" s="13">
        <f t="shared" si="27"/>
        <v>0.9435136881636197</v>
      </c>
      <c r="W97" s="387">
        <f>1*(M97-Val!$D$28)*PI()/4*Val!$D$2^2*(SIN(D97)+Val!$D$18/2*SIN(2*D97)/(1-Val!$D$18^2*SIN(D97)^2)^0.5)*Val!$D$4*(D97-D96)+1*(M97-Val!$D$28)*PI()/4*Val!$D$3^2*(SIN(E97)+Val!$D$19/2*SIN(2*E97)/(1-Val!$D$19^2*SIN(E97)^2)^0.5)*Val!$D$5*(E97-E96)</f>
        <v>0.5288853655165434</v>
      </c>
    </row>
    <row r="98" spans="2:23" ht="13.5">
      <c r="B98" s="32">
        <v>93</v>
      </c>
      <c r="C98" s="32">
        <f>B98-Data!$D$10</f>
        <v>3</v>
      </c>
      <c r="D98" s="30">
        <f t="shared" si="36"/>
        <v>1.6231562043547265</v>
      </c>
      <c r="E98" s="30">
        <f t="shared" si="37"/>
        <v>0.05235987755982989</v>
      </c>
      <c r="F98" s="26">
        <f>Val!$D$11*(1-COS(D98))+Val!$D$12*(1-COS(E98))</f>
        <v>0.0005268531422848852</v>
      </c>
      <c r="G98" s="26">
        <f>Val!$D$11*((1-COS(Calc!D98))+1/Val!$D$18*(1-(1-(Val!$D$18*SIN(Calc!D98))^2)^0.5))+Val!$D$12*((1-COS(Calc!E98))+1/Val!$D$19*(1-(1-(Val!$D$19*SIN(Calc!E98))^2)^0.5))</f>
        <v>0.0005816941606331629</v>
      </c>
      <c r="H98" s="26">
        <f t="shared" si="38"/>
        <v>-5.4841018348277676E-05</v>
      </c>
      <c r="I98" s="22">
        <f>Val!$D$11*(1-COS(D98))+Val!$D$14+Val!$D$13+Val!$D$12*((1-COS(Calc!E98)))+Val!$D$15</f>
        <v>0.0012268531422848852</v>
      </c>
      <c r="J98" s="22">
        <f>Val!$D$11*((1-COS(Calc!$D98))+1/Val!$D$18*(1-(1-(Val!$D$18*SIN(Calc!$D98))^2)^0.5))+Val!$D$14+Val!$D$13+Val!$D$12*((1-COS(Calc!$E98))+1/Val!$D$19*(1-(1-(Val!$D$19*SIN(Calc!$E98))^2)^0.5))+Val!$D$15</f>
        <v>0.001281694160633163</v>
      </c>
      <c r="K98" s="44">
        <f t="shared" si="39"/>
        <v>-5.4841018348277676E-05</v>
      </c>
      <c r="L98" s="50">
        <f>Val!$D$42*Val!$D$22/Val!$D$37/(1-Val!$D$39*COS(D98-Val!$D$40))</f>
        <v>164412.54403871918</v>
      </c>
      <c r="M98" s="50">
        <f>Val!$D$42*Val!$D$22/(Val!$D$11*((1-COS(Calc!D98))+1/Val!$D$18*(1-(1-(Val!$D$18*SIN(Calc!D98))^2)^0.5))/Val!$D$25+Val!$D$14/Val!$D$25+Val!$D$13/Val!$D$27+Val!$D$12*((1-COS(Calc!E98))+1/Val!$D$19*(1-(1-(Val!$D$19*SIN(Calc!E98))^2)^0.5))/Val!$D$26+Val!$D$15/Val!$D$26)</f>
        <v>158945.31670069136</v>
      </c>
      <c r="N98" s="16">
        <f t="shared" si="28"/>
        <v>1.5148381013249157</v>
      </c>
      <c r="O98" s="16">
        <f t="shared" si="29"/>
        <v>1.4640841270198734</v>
      </c>
      <c r="P98" s="16">
        <f t="shared" si="30"/>
        <v>-9.242999796930159E-06</v>
      </c>
      <c r="Q98" s="16">
        <f t="shared" si="31"/>
        <v>-9.240213758336647E-06</v>
      </c>
      <c r="R98" s="13">
        <f t="shared" si="24"/>
        <v>0.49839232526617744</v>
      </c>
      <c r="S98" s="13">
        <f t="shared" si="25"/>
        <v>0.5206707396195528</v>
      </c>
      <c r="T98" s="13">
        <f t="shared" si="26"/>
        <v>0.9700986276650689</v>
      </c>
      <c r="U98" s="13">
        <f t="shared" si="27"/>
        <v>0.9378398376270978</v>
      </c>
      <c r="W98" s="387">
        <f>1*(M98-Val!$D$28)*PI()/4*Val!$D$2^2*(SIN(D98)+Val!$D$18/2*SIN(2*D98)/(1-Val!$D$18^2*SIN(D98)^2)^0.5)*Val!$D$4*(D98-D97)+1*(M98-Val!$D$28)*PI()/4*Val!$D$3^2*(SIN(E98)+Val!$D$19/2*SIN(2*E98)/(1-Val!$D$19^2*SIN(E98)^2)^0.5)*Val!$D$5*(E98-E97)</f>
        <v>0.5285503712522784</v>
      </c>
    </row>
    <row r="99" spans="2:23" ht="13.5">
      <c r="B99" s="32">
        <v>94</v>
      </c>
      <c r="C99" s="32">
        <f>B99-Data!$D$10</f>
        <v>4</v>
      </c>
      <c r="D99" s="30">
        <f t="shared" si="36"/>
        <v>1.6406094968746698</v>
      </c>
      <c r="E99" s="30">
        <f t="shared" si="37"/>
        <v>0.06981317007977318</v>
      </c>
      <c r="F99" s="26">
        <f>Val!$D$11*(1-COS(D99))+Val!$D$12*(1-COS(E99))</f>
        <v>0.0005360961420818154</v>
      </c>
      <c r="G99" s="26">
        <f>Val!$D$11*((1-COS(Calc!D99))+1/Val!$D$18*(1-(1-(Val!$D$18*SIN(Calc!D99))^2)^0.5))+Val!$D$12*((1-COS(Calc!E99))+1/Val!$D$19*(1-(1-(Val!$D$19*SIN(Calc!E99))^2)^0.5))</f>
        <v>0.0005909343743914996</v>
      </c>
      <c r="H99" s="26">
        <f t="shared" si="38"/>
        <v>-5.4838232309684164E-05</v>
      </c>
      <c r="I99" s="22">
        <f>Val!$D$11*(1-COS(D99))+Val!$D$14+Val!$D$13+Val!$D$12*((1-COS(Calc!E99)))+Val!$D$15</f>
        <v>0.0012360961420818154</v>
      </c>
      <c r="J99" s="22">
        <f>Val!$D$11*((1-COS(Calc!$D99))+1/Val!$D$18*(1-(1-(Val!$D$18*SIN(Calc!$D99))^2)^0.5))+Val!$D$14+Val!$D$13+Val!$D$12*((1-COS(Calc!$E99))+1/Val!$D$19*(1-(1-(Val!$D$19*SIN(Calc!$E99))^2)^0.5))+Val!$D$15</f>
        <v>0.0012909343743914994</v>
      </c>
      <c r="K99" s="44">
        <f t="shared" si="39"/>
        <v>-5.4838232309684055E-05</v>
      </c>
      <c r="L99" s="50">
        <f>Val!$D$42*Val!$D$22/Val!$D$37/(1-Val!$D$39*COS(D99-Val!$D$40))</f>
        <v>163368.07580464229</v>
      </c>
      <c r="M99" s="50">
        <f>Val!$D$42*Val!$D$22/(Val!$D$11*((1-COS(Calc!D99))+1/Val!$D$18*(1-(1-(Val!$D$18*SIN(Calc!D99))^2)^0.5))/Val!$D$25+Val!$D$14/Val!$D$25+Val!$D$13/Val!$D$27+Val!$D$12*((1-COS(Calc!E99))+1/Val!$D$19*(1-(1-(Val!$D$19*SIN(Calc!E99))^2)^0.5))/Val!$D$26+Val!$D$15/Val!$D$26)</f>
        <v>157948.67846234783</v>
      </c>
      <c r="N99" s="16">
        <f t="shared" si="28"/>
        <v>1.5280572206983543</v>
      </c>
      <c r="O99" s="16">
        <f t="shared" si="29"/>
        <v>1.4768468925713096</v>
      </c>
      <c r="P99" s="16">
        <f t="shared" si="30"/>
        <v>-9.384309366408552E-06</v>
      </c>
      <c r="Q99" s="16">
        <f t="shared" si="31"/>
        <v>-9.380750654725467E-06</v>
      </c>
      <c r="R99" s="13">
        <f t="shared" si="24"/>
        <v>0.502147167636836</v>
      </c>
      <c r="S99" s="13">
        <f t="shared" si="25"/>
        <v>0.5244244502001012</v>
      </c>
      <c r="T99" s="13">
        <f t="shared" si="26"/>
        <v>0.963935854584451</v>
      </c>
      <c r="U99" s="13">
        <f t="shared" si="27"/>
        <v>0.9319592803195733</v>
      </c>
      <c r="W99" s="387">
        <f>1*(M99-Val!$D$28)*PI()/4*Val!$D$2^2*(SIN(D99)+Val!$D$18/2*SIN(2*D99)/(1-Val!$D$18^2*SIN(D99)^2)^0.5)*Val!$D$4*(D99-D98)+1*(M99-Val!$D$28)*PI()/4*Val!$D$3^2*(SIN(E99)+Val!$D$19/2*SIN(2*E99)/(1-Val!$D$19^2*SIN(E99)^2)^0.5)*Val!$D$5*(E99-E98)</f>
        <v>0.5274531539994921</v>
      </c>
    </row>
    <row r="100" spans="2:23" ht="13.5">
      <c r="B100" s="32">
        <v>95</v>
      </c>
      <c r="C100" s="32">
        <f>B100-Data!$D$10</f>
        <v>5</v>
      </c>
      <c r="D100" s="30">
        <f t="shared" si="36"/>
        <v>1.6580627893946132</v>
      </c>
      <c r="E100" s="30">
        <f t="shared" si="37"/>
        <v>0.08726646259971647</v>
      </c>
      <c r="F100" s="26">
        <f>Val!$D$11*(1-COS(D100))+Val!$D$12*(1-COS(E100))</f>
        <v>0.000545480451448224</v>
      </c>
      <c r="G100" s="26">
        <f>Val!$D$11*((1-COS(Calc!D100))+1/Val!$D$18*(1-(1-(Val!$D$18*SIN(Calc!D100))^2)^0.5))+Val!$D$12*((1-COS(Calc!E100))+1/Val!$D$19*(1-(1-(Val!$D$19*SIN(Calc!E100))^2)^0.5))</f>
        <v>0.000600315125046225</v>
      </c>
      <c r="H100" s="26">
        <f t="shared" si="38"/>
        <v>-5.483467359800108E-05</v>
      </c>
      <c r="I100" s="22">
        <f>Val!$D$11*(1-COS(D100))+Val!$D$14+Val!$D$13+Val!$D$12*((1-COS(Calc!E100)))+Val!$D$15</f>
        <v>0.0012454804514482238</v>
      </c>
      <c r="J100" s="22">
        <f>Val!$D$11*((1-COS(Calc!$D100))+1/Val!$D$18*(1-(1-(Val!$D$18*SIN(Calc!$D100))^2)^0.5))+Val!$D$14+Val!$D$13+Val!$D$12*((1-COS(Calc!$E100))+1/Val!$D$19*(1-(1-(Val!$D$19*SIN(Calc!$E100))^2)^0.5))+Val!$D$15</f>
        <v>0.001300315125046225</v>
      </c>
      <c r="K100" s="44">
        <f t="shared" si="39"/>
        <v>-5.483467359800108E-05</v>
      </c>
      <c r="L100" s="50">
        <f>Val!$D$42*Val!$D$22/Val!$D$37/(1-Val!$D$39*COS(D100-Val!$D$40))</f>
        <v>162294.08238637037</v>
      </c>
      <c r="M100" s="50">
        <f>Val!$D$42*Val!$D$22/(Val!$D$11*((1-COS(Calc!D100))+1/Val!$D$18*(1-(1-(Val!$D$18*SIN(Calc!D100))^2)^0.5))/Val!$D$25+Val!$D$14/Val!$D$25+Val!$D$13/Val!$D$27+Val!$D$12*((1-COS(Calc!E100))+1/Val!$D$19*(1-(1-(Val!$D$19*SIN(Calc!E100))^2)^0.5))/Val!$D$26+Val!$D$15/Val!$D$26)</f>
        <v>156918.85121180714</v>
      </c>
      <c r="N100" s="16">
        <f t="shared" si="28"/>
        <v>1.5402416759038005</v>
      </c>
      <c r="O100" s="16">
        <f t="shared" si="29"/>
        <v>1.4885734090783225</v>
      </c>
      <c r="P100" s="16">
        <f t="shared" si="30"/>
        <v>-9.522760384346289E-06</v>
      </c>
      <c r="Q100" s="16">
        <f t="shared" si="31"/>
        <v>-9.518446346192888E-06</v>
      </c>
      <c r="R100" s="13">
        <f t="shared" si="24"/>
        <v>0.5059594150892335</v>
      </c>
      <c r="S100" s="13">
        <f t="shared" si="25"/>
        <v>0.5282352519745039</v>
      </c>
      <c r="T100" s="13">
        <f t="shared" si="26"/>
        <v>0.9575988713130191</v>
      </c>
      <c r="U100" s="13">
        <f t="shared" si="27"/>
        <v>0.9258828947960553</v>
      </c>
      <c r="W100" s="387">
        <f>1*(M100-Val!$D$28)*PI()/4*Val!$D$2^2*(SIN(D100)+Val!$D$18/2*SIN(2*D100)/(1-Val!$D$18^2*SIN(D100)^2)^0.5)*Val!$D$4*(D100-D99)+1*(M100-Val!$D$28)*PI()/4*Val!$D$3^2*(SIN(E100)+Val!$D$19/2*SIN(2*E100)/(1-Val!$D$19^2*SIN(E100)^2)^0.5)*Val!$D$5*(E100-E99)</f>
        <v>0.5256023302933269</v>
      </c>
    </row>
    <row r="101" spans="2:23" ht="13.5">
      <c r="B101" s="32">
        <v>96</v>
      </c>
      <c r="C101" s="32">
        <f>B101-Data!$D$10</f>
        <v>6</v>
      </c>
      <c r="D101" s="30">
        <f t="shared" si="36"/>
        <v>1.6755160819145565</v>
      </c>
      <c r="E101" s="30">
        <f t="shared" si="37"/>
        <v>0.10471975511965978</v>
      </c>
      <c r="F101" s="26">
        <f>Val!$D$11*(1-COS(D101))+Val!$D$12*(1-COS(E101))</f>
        <v>0.0005550032118325702</v>
      </c>
      <c r="G101" s="26">
        <f>Val!$D$11*((1-COS(Calc!D101))+1/Val!$D$18*(1-(1-(Val!$D$18*SIN(Calc!D101))^2)^0.5))+Val!$D$12*((1-COS(Calc!E101))+1/Val!$D$19*(1-(1-(Val!$D$19*SIN(Calc!E101))^2)^0.5))</f>
        <v>0.0006098335713924179</v>
      </c>
      <c r="H101" s="26">
        <f t="shared" si="38"/>
        <v>-5.483035955984768E-05</v>
      </c>
      <c r="I101" s="22">
        <f>Val!$D$11*(1-COS(D101))+Val!$D$14+Val!$D$13+Val!$D$12*((1-COS(Calc!E101)))+Val!$D$15</f>
        <v>0.0012550032118325701</v>
      </c>
      <c r="J101" s="22">
        <f>Val!$D$11*((1-COS(Calc!$D101))+1/Val!$D$18*(1-(1-(Val!$D$18*SIN(Calc!$D101))^2)^0.5))+Val!$D$14+Val!$D$13+Val!$D$12*((1-COS(Calc!$E101))+1/Val!$D$19*(1-(1-(Val!$D$19*SIN(Calc!$E101))^2)^0.5))+Val!$D$15</f>
        <v>0.0013098335713924178</v>
      </c>
      <c r="K101" s="44">
        <f t="shared" si="39"/>
        <v>-5.483035955984768E-05</v>
      </c>
      <c r="L101" s="50">
        <f>Val!$D$42*Val!$D$22/Val!$D$37/(1-Val!$D$39*COS(D101-Val!$D$40))</f>
        <v>161192.30469855128</v>
      </c>
      <c r="M101" s="50">
        <f>Val!$D$42*Val!$D$22/(Val!$D$11*((1-COS(Calc!D101))+1/Val!$D$18*(1-(1-(Val!$D$18*SIN(Calc!D101))^2)^0.5))/Val!$D$25+Val!$D$14/Val!$D$25+Val!$D$13/Val!$D$27+Val!$D$12*((1-COS(Calc!E101))+1/Val!$D$19*(1-(1-(Val!$D$19*SIN(Calc!E101))^2)^0.5))/Val!$D$26+Val!$D$15/Val!$D$26)</f>
        <v>155857.6996953081</v>
      </c>
      <c r="N101" s="16">
        <f t="shared" si="28"/>
        <v>1.5513989386539009</v>
      </c>
      <c r="O101" s="16">
        <f t="shared" si="29"/>
        <v>1.4992713516731082</v>
      </c>
      <c r="P101" s="16">
        <f t="shared" si="30"/>
        <v>-9.658310677221641E-06</v>
      </c>
      <c r="Q101" s="16">
        <f t="shared" si="31"/>
        <v>-9.653262340715324E-06</v>
      </c>
      <c r="R101" s="13">
        <f t="shared" si="24"/>
        <v>0.5098279063758662</v>
      </c>
      <c r="S101" s="13">
        <f t="shared" si="25"/>
        <v>0.5321019907420841</v>
      </c>
      <c r="T101" s="13">
        <f t="shared" si="26"/>
        <v>0.9510979499314147</v>
      </c>
      <c r="U101" s="13">
        <f t="shared" si="27"/>
        <v>0.9196216837922406</v>
      </c>
      <c r="W101" s="387">
        <f>1*(M101-Val!$D$28)*PI()/4*Val!$D$2^2*(SIN(D101)+Val!$D$18/2*SIN(2*D101)/(1-Val!$D$18^2*SIN(D101)^2)^0.5)*Val!$D$4*(D101-D100)+1*(M101-Val!$D$28)*PI()/4*Val!$D$3^2*(SIN(E101)+Val!$D$19/2*SIN(2*E101)/(1-Val!$D$19^2*SIN(E101)^2)^0.5)*Val!$D$5*(E101-E100)</f>
        <v>0.5230085204014837</v>
      </c>
    </row>
    <row r="102" spans="2:23" ht="13.5">
      <c r="B102" s="32">
        <v>97</v>
      </c>
      <c r="C102" s="32">
        <f>B102-Data!$D$10</f>
        <v>7</v>
      </c>
      <c r="D102" s="30">
        <f t="shared" si="36"/>
        <v>1.6929693744344996</v>
      </c>
      <c r="E102" s="30">
        <f t="shared" si="37"/>
        <v>0.12217304763960307</v>
      </c>
      <c r="F102" s="26">
        <f>Val!$D$11*(1-COS(D102))+Val!$D$12*(1-COS(E102))</f>
        <v>0.0005646615225097919</v>
      </c>
      <c r="G102" s="26">
        <f>Val!$D$11*((1-COS(Calc!D102))+1/Val!$D$18*(1-(1-(Val!$D$18*SIN(Calc!D102))^2)^0.5))+Val!$D$12*((1-COS(Calc!E102))+1/Val!$D$19*(1-(1-(Val!$D$19*SIN(Calc!E102))^2)^0.5))</f>
        <v>0.0006194868337331332</v>
      </c>
      <c r="H102" s="26">
        <f t="shared" si="38"/>
        <v>-5.482531122334136E-05</v>
      </c>
      <c r="I102" s="22">
        <f>Val!$D$11*(1-COS(D102))+Val!$D$14+Val!$D$13+Val!$D$12*((1-COS(Calc!E102)))+Val!$D$15</f>
        <v>0.001264661522509792</v>
      </c>
      <c r="J102" s="22">
        <f>Val!$D$11*((1-COS(Calc!$D102))+1/Val!$D$18*(1-(1-(Val!$D$18*SIN(Calc!$D102))^2)^0.5))+Val!$D$14+Val!$D$13+Val!$D$12*((1-COS(Calc!$E102))+1/Val!$D$19*(1-(1-(Val!$D$19*SIN(Calc!$E102))^2)^0.5))+Val!$D$15</f>
        <v>0.0013194868337331332</v>
      </c>
      <c r="K102" s="44">
        <f t="shared" si="39"/>
        <v>-5.482531122334125E-05</v>
      </c>
      <c r="L102" s="50">
        <f>Val!$D$42*Val!$D$22/Val!$D$37/(1-Val!$D$39*COS(D102-Val!$D$40))</f>
        <v>160064.48450635953</v>
      </c>
      <c r="M102" s="50">
        <f>Val!$D$42*Val!$D$22/(Val!$D$11*((1-COS(Calc!D102))+1/Val!$D$18*(1-(1-(Val!$D$18*SIN(Calc!D102))^2)^0.5))/Val!$D$25+Val!$D$14/Val!$D$25+Val!$D$13/Val!$D$27+Val!$D$12*((1-COS(Calc!E102))+1/Val!$D$19*(1-(1-(Val!$D$19*SIN(Calc!E102))^2)^0.5))/Val!$D$26+Val!$D$15/Val!$D$26)</f>
        <v>154767.10231582064</v>
      </c>
      <c r="N102" s="16">
        <f t="shared" si="28"/>
        <v>1.5615382111047138</v>
      </c>
      <c r="O102" s="16">
        <f t="shared" si="29"/>
        <v>1.5089503228499537</v>
      </c>
      <c r="P102" s="16">
        <f t="shared" si="30"/>
        <v>-9.790918955102632E-06</v>
      </c>
      <c r="Q102" s="16">
        <f t="shared" si="31"/>
        <v>-9.785160927207976E-06</v>
      </c>
      <c r="R102" s="13">
        <f t="shared" si="24"/>
        <v>0.5137514631168131</v>
      </c>
      <c r="S102" s="13">
        <f t="shared" si="25"/>
        <v>0.5360234966653059</v>
      </c>
      <c r="T102" s="13">
        <f t="shared" si="26"/>
        <v>0.9444433675387202</v>
      </c>
      <c r="U102" s="13">
        <f t="shared" si="27"/>
        <v>0.913186730623906</v>
      </c>
      <c r="W102" s="387">
        <f>1*(M102-Val!$D$28)*PI()/4*Val!$D$2^2*(SIN(D102)+Val!$D$18/2*SIN(2*D102)/(1-Val!$D$18^2*SIN(D102)^2)^0.5)*Val!$D$4*(D102-D101)+1*(M102-Val!$D$28)*PI()/4*Val!$D$3^2*(SIN(E102)+Val!$D$19/2*SIN(2*E102)/(1-Val!$D$19^2*SIN(E102)^2)^0.5)*Val!$D$5*(E102-E101)</f>
        <v>0.5196842463674245</v>
      </c>
    </row>
    <row r="103" spans="2:23" ht="13.5">
      <c r="B103" s="32">
        <v>98</v>
      </c>
      <c r="C103" s="32">
        <f>B103-Data!$D$10</f>
        <v>8</v>
      </c>
      <c r="D103" s="30">
        <f t="shared" si="36"/>
        <v>1.710422666954443</v>
      </c>
      <c r="E103" s="30">
        <f t="shared" si="37"/>
        <v>0.13962634015954636</v>
      </c>
      <c r="F103" s="26">
        <f>Val!$D$11*(1-COS(D103))+Val!$D$12*(1-COS(E103))</f>
        <v>0.0005744524414648945</v>
      </c>
      <c r="G103" s="26">
        <f>Val!$D$11*((1-COS(Calc!D103))+1/Val!$D$18*(1-(1-(Val!$D$18*SIN(Calc!D103))^2)^0.5))+Val!$D$12*((1-COS(Calc!E103))+1/Val!$D$19*(1-(1-(Val!$D$19*SIN(Calc!E103))^2)^0.5))</f>
        <v>0.0006292719946603412</v>
      </c>
      <c r="H103" s="26">
        <f t="shared" si="38"/>
        <v>-5.4819553195446704E-05</v>
      </c>
      <c r="I103" s="22">
        <f>Val!$D$11*(1-COS(D103))+Val!$D$14+Val!$D$13+Val!$D$12*((1-COS(Calc!E103)))+Val!$D$15</f>
        <v>0.0012744524414648945</v>
      </c>
      <c r="J103" s="22">
        <f>Val!$D$11*((1-COS(Calc!$D103))+1/Val!$D$18*(1-(1-(Val!$D$18*SIN(Calc!$D103))^2)^0.5))+Val!$D$14+Val!$D$13+Val!$D$12*((1-COS(Calc!$E103))+1/Val!$D$19*(1-(1-(Val!$D$19*SIN(Calc!$E103))^2)^0.5))+Val!$D$15</f>
        <v>0.0013292719946603412</v>
      </c>
      <c r="K103" s="44">
        <f t="shared" si="39"/>
        <v>-5.4819553195446704E-05</v>
      </c>
      <c r="L103" s="50">
        <f>Val!$D$42*Val!$D$22/Val!$D$37/(1-Val!$D$39*COS(D103-Val!$D$40))</f>
        <v>158912.35888604142</v>
      </c>
      <c r="M103" s="50">
        <f>Val!$D$42*Val!$D$22/(Val!$D$11*((1-COS(Calc!D103))+1/Val!$D$18*(1-(1-(Val!$D$18*SIN(Calc!D103))^2)^0.5))/Val!$D$25+Val!$D$14/Val!$D$25+Val!$D$13/Val!$D$27+Val!$D$12*((1-COS(Calc!E103))+1/Val!$D$19*(1-(1-(Val!$D$19*SIN(Calc!E103))^2)^0.5))/Val!$D$26+Val!$D$15/Val!$D$26)</f>
        <v>153648.94399656355</v>
      </c>
      <c r="N103" s="16">
        <f t="shared" si="28"/>
        <v>1.5706703280261896</v>
      </c>
      <c r="O103" s="16">
        <f t="shared" si="29"/>
        <v>1.5176217415812885</v>
      </c>
      <c r="P103" s="16">
        <f t="shared" si="30"/>
        <v>-9.920544824223456E-06</v>
      </c>
      <c r="Q103" s="16">
        <f t="shared" si="31"/>
        <v>-9.914105170633894E-06</v>
      </c>
      <c r="R103" s="13">
        <f t="shared" si="24"/>
        <v>0.5177288901586824</v>
      </c>
      <c r="S103" s="13">
        <f t="shared" si="25"/>
        <v>0.5399985845870211</v>
      </c>
      <c r="T103" s="13">
        <f t="shared" si="26"/>
        <v>0.9376453735674989</v>
      </c>
      <c r="U103" s="13">
        <f t="shared" si="27"/>
        <v>0.9065891570788599</v>
      </c>
      <c r="W103" s="387">
        <f>1*(M103-Val!$D$28)*PI()/4*Val!$D$2^2*(SIN(D103)+Val!$D$18/2*SIN(2*D103)/(1-Val!$D$18^2*SIN(D103)^2)^0.5)*Val!$D$4*(D103-D102)+1*(M103-Val!$D$28)*PI()/4*Val!$D$3^2*(SIN(E103)+Val!$D$19/2*SIN(2*E103)/(1-Val!$D$19^2*SIN(E103)^2)^0.5)*Val!$D$5*(E103-E102)</f>
        <v>0.5156438240906781</v>
      </c>
    </row>
    <row r="104" spans="2:23" ht="13.5">
      <c r="B104" s="32">
        <v>99</v>
      </c>
      <c r="C104" s="32">
        <f>B104-Data!$D$10</f>
        <v>9</v>
      </c>
      <c r="D104" s="30">
        <f t="shared" si="36"/>
        <v>1.7278759594743862</v>
      </c>
      <c r="E104" s="30">
        <f t="shared" si="37"/>
        <v>0.15707963267948966</v>
      </c>
      <c r="F104" s="26">
        <f>Val!$D$11*(1-COS(D104))+Val!$D$12*(1-COS(E104))</f>
        <v>0.000584372986289118</v>
      </c>
      <c r="G104" s="26">
        <f>Val!$D$11*((1-COS(Calc!D104))+1/Val!$D$18*(1-(1-(Val!$D$18*SIN(Calc!D104))^2)^0.5))+Val!$D$12*((1-COS(Calc!E104))+1/Val!$D$19*(1-(1-(Val!$D$19*SIN(Calc!E104))^2)^0.5))</f>
        <v>0.0006391860998309751</v>
      </c>
      <c r="H104" s="26">
        <f t="shared" si="38"/>
        <v>-5.481311354185714E-05</v>
      </c>
      <c r="I104" s="22">
        <f>Val!$D$11*(1-COS(D104))+Val!$D$14+Val!$D$13+Val!$D$12*((1-COS(Calc!E104)))+Val!$D$15</f>
        <v>0.0012843729862891179</v>
      </c>
      <c r="J104" s="22">
        <f>Val!$D$11*((1-COS(Calc!$D104))+1/Val!$D$18*(1-(1-(Val!$D$18*SIN(Calc!$D104))^2)^0.5))+Val!$D$14+Val!$D$13+Val!$D$12*((1-COS(Calc!$E104))+1/Val!$D$19*(1-(1-(Val!$D$19*SIN(Calc!$E104))^2)^0.5))+Val!$D$15</f>
        <v>0.001339186099830975</v>
      </c>
      <c r="K104" s="44">
        <f t="shared" si="39"/>
        <v>-5.481311354185725E-05</v>
      </c>
      <c r="L104" s="50">
        <f>Val!$D$42*Val!$D$22/Val!$D$37/(1-Val!$D$39*COS(D104-Val!$D$40))</f>
        <v>157737.65497025967</v>
      </c>
      <c r="M104" s="50">
        <f>Val!$D$42*Val!$D$22/(Val!$D$11*((1-COS(Calc!D104))+1/Val!$D$18*(1-(1-(Val!$D$18*SIN(Calc!D104))^2)^0.5))/Val!$D$25+Val!$D$14/Val!$D$25+Val!$D$13/Val!$D$27+Val!$D$12*((1-COS(Calc!E104))+1/Val!$D$19*(1-(1-(Val!$D$19*SIN(Calc!E104))^2)^0.5))/Val!$D$26+Val!$D$15/Val!$D$26)</f>
        <v>152505.10933677503</v>
      </c>
      <c r="N104" s="16">
        <f t="shared" si="28"/>
        <v>1.5788076560246445</v>
      </c>
      <c r="O104" s="16">
        <f t="shared" si="29"/>
        <v>1.5252987281559156</v>
      </c>
      <c r="P104" s="16">
        <f t="shared" si="30"/>
        <v>-1.0047148799288003E-05</v>
      </c>
      <c r="Q104" s="16">
        <f t="shared" si="31"/>
        <v>-1.0040058907439587E-05</v>
      </c>
      <c r="R104" s="13">
        <f t="shared" si="24"/>
        <v>0.5217589759386672</v>
      </c>
      <c r="S104" s="13">
        <f t="shared" si="25"/>
        <v>0.5440260543457269</v>
      </c>
      <c r="T104" s="13">
        <f t="shared" si="26"/>
        <v>0.930714158779263</v>
      </c>
      <c r="U104" s="13">
        <f t="shared" si="27"/>
        <v>0.8998400830332975</v>
      </c>
      <c r="W104" s="387">
        <f>1*(M104-Val!$D$28)*PI()/4*Val!$D$2^2*(SIN(D104)+Val!$D$18/2*SIN(2*D104)/(1-Val!$D$18^2*SIN(D104)^2)^0.5)*Val!$D$4*(D104-D103)+1*(M104-Val!$D$28)*PI()/4*Val!$D$3^2*(SIN(E104)+Val!$D$19/2*SIN(2*E104)/(1-Val!$D$19^2*SIN(E104)^2)^0.5)*Val!$D$5*(E104-E103)</f>
        <v>0.5109032505526497</v>
      </c>
    </row>
    <row r="105" spans="2:23" ht="13.5">
      <c r="B105" s="32">
        <v>100</v>
      </c>
      <c r="C105" s="32">
        <f>B105-Data!$D$10</f>
        <v>10</v>
      </c>
      <c r="D105" s="30">
        <f t="shared" si="36"/>
        <v>1.7453292519943295</v>
      </c>
      <c r="E105" s="30">
        <f t="shared" si="37"/>
        <v>0.17453292519943295</v>
      </c>
      <c r="F105" s="26">
        <f>Val!$D$11*(1-COS(D105))+Val!$D$12*(1-COS(E105))</f>
        <v>0.000594420135088406</v>
      </c>
      <c r="G105" s="26">
        <f>Val!$D$11*((1-COS(Calc!D105))+1/Val!$D$18*(1-(1-(Val!$D$18*SIN(Calc!D105))^2)^0.5))+Val!$D$12*((1-COS(Calc!E105))+1/Val!$D$19*(1-(1-(Val!$D$19*SIN(Calc!E105))^2)^0.5))</f>
        <v>0.0006492261587384147</v>
      </c>
      <c r="H105" s="26">
        <f t="shared" si="38"/>
        <v>-5.4806023650008726E-05</v>
      </c>
      <c r="I105" s="22">
        <f>Val!$D$11*(1-COS(D105))+Val!$D$14+Val!$D$13+Val!$D$12*((1-COS(Calc!E105)))+Val!$D$15</f>
        <v>0.0012944201350884059</v>
      </c>
      <c r="J105" s="22">
        <f>Val!$D$11*((1-COS(Calc!$D105))+1/Val!$D$18*(1-(1-(Val!$D$18*SIN(Calc!$D105))^2)^0.5))+Val!$D$14+Val!$D$13+Val!$D$12*((1-COS(Calc!$E105))+1/Val!$D$19*(1-(1-(Val!$D$19*SIN(Calc!$E105))^2)^0.5))+Val!$D$15</f>
        <v>0.0013492261587384148</v>
      </c>
      <c r="K105" s="44">
        <f t="shared" si="39"/>
        <v>-5.480602365000894E-05</v>
      </c>
      <c r="L105" s="50">
        <f>Val!$D$42*Val!$D$22/Val!$D$37/(1-Val!$D$39*COS(D105-Val!$D$40))</f>
        <v>156542.08499667054</v>
      </c>
      <c r="M105" s="50">
        <f>Val!$D$42*Val!$D$22/(Val!$D$11*((1-COS(Calc!D105))+1/Val!$D$18*(1-(1-(Val!$D$18*SIN(Calc!D105))^2)^0.5))/Val!$D$25+Val!$D$14/Val!$D$25+Val!$D$13/Val!$D$27+Val!$D$12*((1-COS(Calc!E105))+1/Val!$D$19*(1-(1-(Val!$D$19*SIN(Calc!E105))^2)^0.5))/Val!$D$26+Val!$D$15/Val!$D$26)</f>
        <v>151337.47609380793</v>
      </c>
      <c r="N105" s="16">
        <f t="shared" si="28"/>
        <v>1.5859639906411425</v>
      </c>
      <c r="O105" s="16">
        <f t="shared" si="29"/>
        <v>1.531995985817056</v>
      </c>
      <c r="P105" s="16">
        <f t="shared" si="30"/>
        <v>-1.0170692315499517E-05</v>
      </c>
      <c r="Q105" s="16">
        <f t="shared" si="31"/>
        <v>-1.0162986741377492E-05</v>
      </c>
      <c r="R105" s="13">
        <f t="shared" si="24"/>
        <v>0.5258404928535985</v>
      </c>
      <c r="S105" s="13">
        <f t="shared" si="25"/>
        <v>0.5481046910889716</v>
      </c>
      <c r="T105" s="13">
        <f t="shared" si="26"/>
        <v>0.9236598260491324</v>
      </c>
      <c r="U105" s="13">
        <f t="shared" si="27"/>
        <v>0.8929505879936019</v>
      </c>
      <c r="W105" s="387">
        <f>1*(M105-Val!$D$28)*PI()/4*Val!$D$2^2*(SIN(D105)+Val!$D$18/2*SIN(2*D105)/(1-Val!$D$18^2*SIN(D105)^2)^0.5)*Val!$D$4*(D105-D104)+1*(M105-Val!$D$28)*PI()/4*Val!$D$3^2*(SIN(E105)+Val!$D$19/2*SIN(2*E105)/(1-Val!$D$19^2*SIN(E105)^2)^0.5)*Val!$D$5*(E105-E104)</f>
        <v>0.5054800872760803</v>
      </c>
    </row>
    <row r="106" spans="2:23" ht="13.5">
      <c r="B106" s="32">
        <v>101</v>
      </c>
      <c r="C106" s="32">
        <f>B106-Data!$D$10</f>
        <v>11</v>
      </c>
      <c r="D106" s="30">
        <f t="shared" si="36"/>
        <v>1.7627825445142729</v>
      </c>
      <c r="E106" s="30">
        <f t="shared" si="37"/>
        <v>0.19198621771937624</v>
      </c>
      <c r="F106" s="26">
        <f>Val!$D$11*(1-COS(D106))+Val!$D$12*(1-COS(E106))</f>
        <v>0.0006045908274039055</v>
      </c>
      <c r="G106" s="26">
        <f>Val!$D$11*((1-COS(Calc!D106))+1/Val!$D$18*(1-(1-(Val!$D$18*SIN(Calc!D106))^2)^0.5))+Val!$D$12*((1-COS(Calc!E106))+1/Val!$D$19*(1-(1-(Val!$D$19*SIN(Calc!E106))^2)^0.5))</f>
        <v>0.0006593891454797922</v>
      </c>
      <c r="H106" s="26">
        <f t="shared" si="38"/>
        <v>-5.47983180758867E-05</v>
      </c>
      <c r="I106" s="22">
        <f>Val!$D$11*(1-COS(D106))+Val!$D$14+Val!$D$13+Val!$D$12*((1-COS(Calc!E106)))+Val!$D$15</f>
        <v>0.0013045908274039054</v>
      </c>
      <c r="J106" s="22">
        <f>Val!$D$11*((1-COS(Calc!$D106))+1/Val!$D$18*(1-(1-(Val!$D$18*SIN(Calc!$D106))^2)^0.5))+Val!$D$14+Val!$D$13+Val!$D$12*((1-COS(Calc!$E106))+1/Val!$D$19*(1-(1-(Val!$D$19*SIN(Calc!$E106))^2)^0.5))+Val!$D$15</f>
        <v>0.001359389145479792</v>
      </c>
      <c r="K106" s="44">
        <f t="shared" si="39"/>
        <v>-5.479831807588659E-05</v>
      </c>
      <c r="L106" s="50">
        <f>Val!$D$42*Val!$D$22/Val!$D$37/(1-Val!$D$39*COS(D106-Val!$D$40))</f>
        <v>155327.34167435943</v>
      </c>
      <c r="M106" s="50">
        <f>Val!$D$42*Val!$D$22/(Val!$D$11*((1-COS(Calc!D106))+1/Val!$D$18*(1-(1-(Val!$D$18*SIN(Calc!D106))^2)^0.5))/Val!$D$25+Val!$D$14/Val!$D$25+Val!$D$13/Val!$D$27+Val!$D$12*((1-COS(Calc!E106))+1/Val!$D$19*(1-(1-(Val!$D$19*SIN(Calc!E106))^2)^0.5))/Val!$D$26+Val!$D$15/Val!$D$26)</f>
        <v>150147.90902034368</v>
      </c>
      <c r="N106" s="16">
        <f t="shared" si="28"/>
        <v>1.5921544521106548</v>
      </c>
      <c r="O106" s="16">
        <f t="shared" si="29"/>
        <v>1.5377296802443976</v>
      </c>
      <c r="P106" s="16">
        <f t="shared" si="30"/>
        <v>-1.029113774030587E-05</v>
      </c>
      <c r="Q106" s="16">
        <f t="shared" si="31"/>
        <v>-1.0282854039804826E-05</v>
      </c>
      <c r="R106" s="13">
        <f t="shared" si="24"/>
        <v>0.5299721976338856</v>
      </c>
      <c r="S106" s="13">
        <f t="shared" si="25"/>
        <v>0.5522332655850608</v>
      </c>
      <c r="T106" s="13">
        <f t="shared" si="26"/>
        <v>0.9164923630259838</v>
      </c>
      <c r="U106" s="13">
        <f t="shared" si="27"/>
        <v>0.8859316747334832</v>
      </c>
      <c r="W106" s="387">
        <f>1*(M106-Val!$D$28)*PI()/4*Val!$D$2^2*(SIN(D106)+Val!$D$18/2*SIN(2*D106)/(1-Val!$D$18^2*SIN(D106)^2)^0.5)*Val!$D$4*(D106-D105)+1*(M106-Val!$D$28)*PI()/4*Val!$D$3^2*(SIN(E106)+Val!$D$19/2*SIN(2*E106)/(1-Val!$D$19^2*SIN(E106)^2)^0.5)*Val!$D$5*(E106-E105)</f>
        <v>0.49939334107323907</v>
      </c>
    </row>
    <row r="107" spans="2:23" ht="13.5">
      <c r="B107" s="32">
        <v>102</v>
      </c>
      <c r="C107" s="32">
        <f>B107-Data!$D$10</f>
        <v>12</v>
      </c>
      <c r="D107" s="30">
        <f t="shared" si="36"/>
        <v>1.7802358370342162</v>
      </c>
      <c r="E107" s="30">
        <f t="shared" si="37"/>
        <v>0.20943951023931956</v>
      </c>
      <c r="F107" s="26">
        <f>Val!$D$11*(1-COS(D107))+Val!$D$12*(1-COS(E107))</f>
        <v>0.0006148819651442114</v>
      </c>
      <c r="G107" s="26">
        <f>Val!$D$11*((1-COS(Calc!D107))+1/Val!$D$18*(1-(1-(Val!$D$18*SIN(Calc!D107))^2)^0.5))+Val!$D$12*((1-COS(Calc!E107))+1/Val!$D$19*(1-(1-(Val!$D$19*SIN(Calc!E107))^2)^0.5))</f>
        <v>0.000669671999519597</v>
      </c>
      <c r="H107" s="26">
        <f t="shared" si="38"/>
        <v>-5.479003437538566E-05</v>
      </c>
      <c r="I107" s="22">
        <f>Val!$D$11*(1-COS(D107))+Val!$D$14+Val!$D$13+Val!$D$12*((1-COS(Calc!E107)))+Val!$D$15</f>
        <v>0.0013148819651442112</v>
      </c>
      <c r="J107" s="22">
        <f>Val!$D$11*((1-COS(Calc!$D107))+1/Val!$D$18*(1-(1-(Val!$D$18*SIN(Calc!$D107))^2)^0.5))+Val!$D$14+Val!$D$13+Val!$D$12*((1-COS(Calc!$E107))+1/Val!$D$19*(1-(1-(Val!$D$19*SIN(Calc!$E107))^2)^0.5))+Val!$D$15</f>
        <v>0.001369671999519597</v>
      </c>
      <c r="K107" s="44">
        <f t="shared" si="39"/>
        <v>-5.479003437538566E-05</v>
      </c>
      <c r="L107" s="50">
        <f>Val!$D$42*Val!$D$22/Val!$D$37/(1-Val!$D$39*COS(D107-Val!$D$40))</f>
        <v>154095.09387907496</v>
      </c>
      <c r="M107" s="50">
        <f>Val!$D$42*Val!$D$22/(Val!$D$11*((1-COS(Calc!D107))+1/Val!$D$18*(1-(1-(Val!$D$18*SIN(Calc!D107))^2)^0.5))/Val!$D$25+Val!$D$14/Val!$D$25+Val!$D$13/Val!$D$27+Val!$D$12*((1-COS(Calc!E107))+1/Val!$D$19*(1-(1-(Val!$D$19*SIN(Calc!E107))^2)^0.5))/Val!$D$26+Val!$D$15/Val!$D$26)</f>
        <v>148938.25408025953</v>
      </c>
      <c r="N107" s="16">
        <f t="shared" si="28"/>
        <v>1.5973953805284125</v>
      </c>
      <c r="O107" s="16">
        <f t="shared" si="29"/>
        <v>1.5425173178711897</v>
      </c>
      <c r="P107" s="16">
        <f t="shared" si="30"/>
        <v>-1.0408448384864339E-05</v>
      </c>
      <c r="Q107" s="16">
        <f t="shared" si="31"/>
        <v>-1.0399626930526502E-05</v>
      </c>
      <c r="R107" s="13">
        <f t="shared" si="24"/>
        <v>0.5341528317222275</v>
      </c>
      <c r="S107" s="13">
        <f t="shared" si="25"/>
        <v>0.5564105345332632</v>
      </c>
      <c r="T107" s="13">
        <f t="shared" si="26"/>
        <v>0.9092216167326398</v>
      </c>
      <c r="U107" s="13">
        <f t="shared" si="27"/>
        <v>0.8787942351653225</v>
      </c>
      <c r="W107" s="387">
        <f>1*(M107-Val!$D$28)*PI()/4*Val!$D$2^2*(SIN(D107)+Val!$D$18/2*SIN(2*D107)/(1-Val!$D$18^2*SIN(D107)^2)^0.5)*Val!$D$4*(D107-D106)+1*(M107-Val!$D$28)*PI()/4*Val!$D$3^2*(SIN(E107)+Val!$D$19/2*SIN(2*E107)/(1-Val!$D$19^2*SIN(E107)^2)^0.5)*Val!$D$5*(E107-E106)</f>
        <v>0.49266334309486637</v>
      </c>
    </row>
    <row r="108" spans="2:23" ht="13.5">
      <c r="B108" s="32">
        <v>103</v>
      </c>
      <c r="C108" s="32">
        <f>B108-Data!$D$10</f>
        <v>13</v>
      </c>
      <c r="D108" s="30">
        <f t="shared" si="36"/>
        <v>1.7976891295541595</v>
      </c>
      <c r="E108" s="30">
        <f t="shared" si="37"/>
        <v>0.22689280275926285</v>
      </c>
      <c r="F108" s="26">
        <f>Val!$D$11*(1-COS(D108))+Val!$D$12*(1-COS(E108))</f>
        <v>0.0006252904135290757</v>
      </c>
      <c r="G108" s="26">
        <f>Val!$D$11*((1-COS(Calc!D108))+1/Val!$D$18*(1-(1-(Val!$D$18*SIN(Calc!D108))^2)^0.5))+Val!$D$12*((1-COS(Calc!E108))+1/Val!$D$19*(1-(1-(Val!$D$19*SIN(Calc!E108))^2)^0.5))</f>
        <v>0.0006800716264501235</v>
      </c>
      <c r="H108" s="26">
        <f t="shared" si="38"/>
        <v>-5.478121292104782E-05</v>
      </c>
      <c r="I108" s="22">
        <f>Val!$D$11*(1-COS(D108))+Val!$D$14+Val!$D$13+Val!$D$12*((1-COS(Calc!E108)))+Val!$D$15</f>
        <v>0.0013252904135290756</v>
      </c>
      <c r="J108" s="22">
        <f>Val!$D$11*((1-COS(Calc!$D108))+1/Val!$D$18*(1-(1-(Val!$D$18*SIN(Calc!$D108))^2)^0.5))+Val!$D$14+Val!$D$13+Val!$D$12*((1-COS(Calc!$E108))+1/Val!$D$19*(1-(1-(Val!$D$19*SIN(Calc!$E108))^2)^0.5))+Val!$D$15</f>
        <v>0.0013800716264501234</v>
      </c>
      <c r="K108" s="44">
        <f t="shared" si="39"/>
        <v>-5.478121292104782E-05</v>
      </c>
      <c r="L108" s="50">
        <f>Val!$D$42*Val!$D$22/Val!$D$37/(1-Val!$D$39*COS(D108-Val!$D$40))</f>
        <v>152846.98268467071</v>
      </c>
      <c r="M108" s="50">
        <f>Val!$D$42*Val!$D$22/(Val!$D$11*((1-COS(Calc!D108))+1/Val!$D$18*(1-(1-(Val!$D$18*SIN(Calc!D108))^2)^0.5))/Val!$D$25+Val!$D$14/Val!$D$25+Val!$D$13/Val!$D$27+Val!$D$12*((1-COS(Calc!E108))+1/Val!$D$19*(1-(1-(Val!$D$19*SIN(Calc!E108))^2)^0.5))/Val!$D$26+Val!$D$15/Val!$D$26)</f>
        <v>147710.3330615288</v>
      </c>
      <c r="N108" s="16">
        <f t="shared" si="28"/>
        <v>1.6017042311214456</v>
      </c>
      <c r="O108" s="16">
        <f t="shared" si="29"/>
        <v>1.546377623974613</v>
      </c>
      <c r="P108" s="16">
        <f t="shared" si="30"/>
        <v>-1.0522588515215515E-05</v>
      </c>
      <c r="Q108" s="16">
        <f t="shared" si="31"/>
        <v>-1.0513272299243564E-05</v>
      </c>
      <c r="R108" s="13">
        <f t="shared" si="24"/>
        <v>0.5383811216569823</v>
      </c>
      <c r="S108" s="13">
        <f t="shared" si="25"/>
        <v>0.5606352408727301</v>
      </c>
      <c r="T108" s="13">
        <f t="shared" si="26"/>
        <v>0.9018572701498156</v>
      </c>
      <c r="U108" s="13">
        <f t="shared" si="27"/>
        <v>0.8715490185541663</v>
      </c>
      <c r="W108" s="387">
        <f>1*(M108-Val!$D$28)*PI()/4*Val!$D$2^2*(SIN(D108)+Val!$D$18/2*SIN(2*D108)/(1-Val!$D$18^2*SIN(D108)^2)^0.5)*Val!$D$4*(D108-D107)+1*(M108-Val!$D$28)*PI()/4*Val!$D$3^2*(SIN(E108)+Val!$D$19/2*SIN(2*E108)/(1-Val!$D$19^2*SIN(E108)^2)^0.5)*Val!$D$5*(E108-E107)</f>
        <v>0.48531162713918974</v>
      </c>
    </row>
    <row r="109" spans="2:23" ht="13.5">
      <c r="B109" s="32">
        <v>104</v>
      </c>
      <c r="C109" s="32">
        <f>B109-Data!$D$10</f>
        <v>14</v>
      </c>
      <c r="D109" s="30">
        <f t="shared" si="36"/>
        <v>1.8151424220741028</v>
      </c>
      <c r="E109" s="30">
        <f t="shared" si="37"/>
        <v>0.24434609527920614</v>
      </c>
      <c r="F109" s="26">
        <f>Val!$D$11*(1-COS(D109))+Val!$D$12*(1-COS(E109))</f>
        <v>0.0006358130020442912</v>
      </c>
      <c r="G109" s="26">
        <f>Val!$D$11*((1-COS(Calc!D109))+1/Val!$D$18*(1-(1-(Val!$D$18*SIN(Calc!D109))^2)^0.5))+Val!$D$12*((1-COS(Calc!E109))+1/Val!$D$19*(1-(1-(Val!$D$19*SIN(Calc!E109))^2)^0.5))</f>
        <v>0.0006905848987493671</v>
      </c>
      <c r="H109" s="26">
        <f t="shared" si="38"/>
        <v>-5.477189670507587E-05</v>
      </c>
      <c r="I109" s="22">
        <f>Val!$D$11*(1-COS(D109))+Val!$D$14+Val!$D$13+Val!$D$12*((1-COS(Calc!E109)))+Val!$D$15</f>
        <v>0.001335813002044291</v>
      </c>
      <c r="J109" s="22">
        <f>Val!$D$11*((1-COS(Calc!$D109))+1/Val!$D$18*(1-(1-(Val!$D$18*SIN(Calc!$D109))^2)^0.5))+Val!$D$14+Val!$D$13+Val!$D$12*((1-COS(Calc!$E109))+1/Val!$D$19*(1-(1-(Val!$D$19*SIN(Calc!$E109))^2)^0.5))+Val!$D$15</f>
        <v>0.001390584898749367</v>
      </c>
      <c r="K109" s="44">
        <f t="shared" si="39"/>
        <v>-5.477189670507598E-05</v>
      </c>
      <c r="L109" s="50">
        <f>Val!$D$42*Val!$D$22/Val!$D$37/(1-Val!$D$39*COS(D109-Val!$D$40))</f>
        <v>151584.6177348275</v>
      </c>
      <c r="M109" s="50">
        <f>Val!$D$42*Val!$D$22/(Val!$D$11*((1-COS(Calc!D109))+1/Val!$D$18*(1-(1-(Val!$D$18*SIN(Calc!D109))^2)^0.5))/Val!$D$25+Val!$D$14/Val!$D$25+Val!$D$13/Val!$D$27+Val!$D$12*((1-COS(Calc!E109))+1/Val!$D$19*(1-(1-(Val!$D$19*SIN(Calc!E109))^2)^0.5))/Val!$D$26+Val!$D$15/Val!$D$26)</f>
        <v>146465.93859955238</v>
      </c>
      <c r="N109" s="16">
        <f t="shared" si="28"/>
        <v>1.605099470275036</v>
      </c>
      <c r="O109" s="16">
        <f t="shared" si="29"/>
        <v>1.5493304214112262</v>
      </c>
      <c r="P109" s="16">
        <f t="shared" si="30"/>
        <v>-1.063352336317042E-05</v>
      </c>
      <c r="Q109" s="16">
        <f t="shared" si="31"/>
        <v>-1.0623757787681532E-05</v>
      </c>
      <c r="R109" s="13">
        <f t="shared" si="24"/>
        <v>0.5426557794600755</v>
      </c>
      <c r="S109" s="13">
        <f t="shared" si="25"/>
        <v>0.5649061140903819</v>
      </c>
      <c r="T109" s="13">
        <f t="shared" si="26"/>
        <v>0.8944088208078543</v>
      </c>
      <c r="U109" s="13">
        <f t="shared" si="27"/>
        <v>0.864206602153426</v>
      </c>
      <c r="W109" s="387">
        <f>1*(M109-Val!$D$28)*PI()/4*Val!$D$2^2*(SIN(D109)+Val!$D$18/2*SIN(2*D109)/(1-Val!$D$18^2*SIN(D109)^2)^0.5)*Val!$D$4*(D109-D108)+1*(M109-Val!$D$28)*PI()/4*Val!$D$3^2*(SIN(E109)+Val!$D$19/2*SIN(2*E109)/(1-Val!$D$19^2*SIN(E109)^2)^0.5)*Val!$D$5*(E109-E108)</f>
        <v>0.47736080812028897</v>
      </c>
    </row>
    <row r="110" spans="2:23" ht="13.5">
      <c r="B110" s="32">
        <v>105</v>
      </c>
      <c r="C110" s="32">
        <f>B110-Data!$D$10</f>
        <v>15</v>
      </c>
      <c r="D110" s="30">
        <f t="shared" si="36"/>
        <v>1.8325957145940461</v>
      </c>
      <c r="E110" s="30">
        <f t="shared" si="37"/>
        <v>0.2617993877991494</v>
      </c>
      <c r="F110" s="26">
        <f>Val!$D$11*(1-COS(D110))+Val!$D$12*(1-COS(E110))</f>
        <v>0.0006464465254074616</v>
      </c>
      <c r="G110" s="26">
        <f>Val!$D$11*((1-COS(Calc!D110))+1/Val!$D$18*(1-(1-(Val!$D$18*SIN(Calc!D110))^2)^0.5))+Val!$D$12*((1-COS(Calc!E110))+1/Val!$D$19*(1-(1-(Val!$D$19*SIN(Calc!E110))^2)^0.5))</f>
        <v>0.0007012086565370486</v>
      </c>
      <c r="H110" s="26">
        <f t="shared" si="38"/>
        <v>-5.476213112958698E-05</v>
      </c>
      <c r="I110" s="22">
        <f>Val!$D$11*(1-COS(D110))+Val!$D$14+Val!$D$13+Val!$D$12*((1-COS(Calc!E110)))+Val!$D$15</f>
        <v>0.0013464465254074617</v>
      </c>
      <c r="J110" s="22">
        <f>Val!$D$11*((1-COS(Calc!$D110))+1/Val!$D$18*(1-(1-(Val!$D$18*SIN(Calc!$D110))^2)^0.5))+Val!$D$14+Val!$D$13+Val!$D$12*((1-COS(Calc!$E110))+1/Val!$D$19*(1-(1-(Val!$D$19*SIN(Calc!$E110))^2)^0.5))+Val!$D$15</f>
        <v>0.0014012086565370486</v>
      </c>
      <c r="K110" s="44">
        <f t="shared" si="39"/>
        <v>-5.476213112958687E-05</v>
      </c>
      <c r="L110" s="50">
        <f>Val!$D$42*Val!$D$22/Val!$D$37/(1-Val!$D$39*COS(D110-Val!$D$40))</f>
        <v>150309.5739560135</v>
      </c>
      <c r="M110" s="50">
        <f>Val!$D$42*Val!$D$22/(Val!$D$11*((1-COS(Calc!D110))+1/Val!$D$18*(1-(1-(Val!$D$18*SIN(Calc!D110))^2)^0.5))/Val!$D$25+Val!$D$14/Val!$D$25+Val!$D$13/Val!$D$27+Val!$D$12*((1-COS(Calc!E110))+1/Val!$D$19*(1-(1-(Val!$D$19*SIN(Calc!E110))^2)^0.5))/Val!$D$26+Val!$D$15/Val!$D$26)</f>
        <v>145206.82961956254</v>
      </c>
      <c r="N110" s="16">
        <f t="shared" si="28"/>
        <v>1.607600472908207</v>
      </c>
      <c r="O110" s="16">
        <f t="shared" si="29"/>
        <v>1.5513965108025547</v>
      </c>
      <c r="P110" s="16">
        <f t="shared" si="30"/>
        <v>-1.07412191368998E-05</v>
      </c>
      <c r="Q110" s="16">
        <f t="shared" si="31"/>
        <v>-1.0731051792451339E-05</v>
      </c>
      <c r="R110" s="13">
        <f t="shared" si="24"/>
        <v>0.5469755030293306</v>
      </c>
      <c r="S110" s="13">
        <f t="shared" si="25"/>
        <v>0.5692218705280321</v>
      </c>
      <c r="T110" s="13">
        <f t="shared" si="26"/>
        <v>0.8868855613918998</v>
      </c>
      <c r="U110" s="13">
        <f t="shared" si="27"/>
        <v>0.8567773643132692</v>
      </c>
      <c r="W110" s="387">
        <f>1*(M110-Val!$D$28)*PI()/4*Val!$D$2^2*(SIN(D110)+Val!$D$18/2*SIN(2*D110)/(1-Val!$D$18^2*SIN(D110)^2)^0.5)*Val!$D$4*(D110-D109)+1*(M110-Val!$D$28)*PI()/4*Val!$D$3^2*(SIN(E110)+Val!$D$19/2*SIN(2*E110)/(1-Val!$D$19^2*SIN(E110)^2)^0.5)*Val!$D$5*(E110-E109)</f>
        <v>0.46883446152884706</v>
      </c>
    </row>
    <row r="111" spans="2:23" ht="13.5">
      <c r="B111" s="32">
        <v>106</v>
      </c>
      <c r="C111" s="32">
        <f>B111-Data!$D$10</f>
        <v>16</v>
      </c>
      <c r="D111" s="30">
        <f t="shared" si="36"/>
        <v>1.8500490071139892</v>
      </c>
      <c r="E111" s="30">
        <f t="shared" si="37"/>
        <v>0.2792526803190927</v>
      </c>
      <c r="F111" s="26">
        <f>Val!$D$11*(1-COS(D111))+Val!$D$12*(1-COS(E111))</f>
        <v>0.0006571877445443614</v>
      </c>
      <c r="G111" s="26">
        <f>Val!$D$11*((1-COS(Calc!D111))+1/Val!$D$18*(1-(1-(Val!$D$18*SIN(Calc!D111))^2)^0.5))+Val!$D$12*((1-COS(Calc!E111))+1/Val!$D$19*(1-(1-(Val!$D$19*SIN(Calc!E111))^2)^0.5))</f>
        <v>0.0007119397083295</v>
      </c>
      <c r="H111" s="26">
        <f t="shared" si="38"/>
        <v>-5.475196378513852E-05</v>
      </c>
      <c r="I111" s="22">
        <f>Val!$D$11*(1-COS(D111))+Val!$D$14+Val!$D$13+Val!$D$12*((1-COS(Calc!E111)))+Val!$D$15</f>
        <v>0.0013571877445443614</v>
      </c>
      <c r="J111" s="22">
        <f>Val!$D$11*((1-COS(Calc!$D111))+1/Val!$D$18*(1-(1-(Val!$D$18*SIN(Calc!$D111))^2)^0.5))+Val!$D$14+Val!$D$13+Val!$D$12*((1-COS(Calc!$E111))+1/Val!$D$19*(1-(1-(Val!$D$19*SIN(Calc!$E111))^2)^0.5))+Val!$D$15</f>
        <v>0.0014119397083295</v>
      </c>
      <c r="K111" s="44">
        <f t="shared" si="39"/>
        <v>-5.475196378513852E-05</v>
      </c>
      <c r="L111" s="50">
        <f>Val!$D$42*Val!$D$22/Val!$D$37/(1-Val!$D$39*COS(D111-Val!$D$40))</f>
        <v>149023.38860976457</v>
      </c>
      <c r="M111" s="50">
        <f>Val!$D$42*Val!$D$22/(Val!$D$11*((1-COS(Calc!D111))+1/Val!$D$18*(1-(1-(Val!$D$18*SIN(Calc!D111))^2)^0.5))/Val!$D$25+Val!$D$14/Val!$D$25+Val!$D$13/Val!$D$27+Val!$D$12*((1-COS(Calc!E111))+1/Val!$D$19*(1-(1-(Val!$D$19*SIN(Calc!E111))^2)^0.5))/Val!$D$26+Val!$D$15/Val!$D$26)</f>
        <v>143934.7272022712</v>
      </c>
      <c r="N111" s="16">
        <f t="shared" si="28"/>
        <v>1.6092274217403661</v>
      </c>
      <c r="O111" s="16">
        <f t="shared" si="29"/>
        <v>1.5525975529003133</v>
      </c>
      <c r="P111" s="16">
        <f t="shared" si="30"/>
        <v>-1.0845643031227761E-05</v>
      </c>
      <c r="Q111" s="16">
        <f t="shared" si="31"/>
        <v>-1.0835123464694035E-05</v>
      </c>
      <c r="R111" s="13">
        <f t="shared" si="24"/>
        <v>0.5513389765351024</v>
      </c>
      <c r="S111" s="13">
        <f t="shared" si="25"/>
        <v>0.5735812136890488</v>
      </c>
      <c r="T111" s="13">
        <f t="shared" si="26"/>
        <v>0.8792965623491918</v>
      </c>
      <c r="U111" s="13">
        <f t="shared" si="27"/>
        <v>0.8492714600863196</v>
      </c>
      <c r="W111" s="387">
        <f>1*(M111-Val!$D$28)*PI()/4*Val!$D$2^2*(SIN(D111)+Val!$D$18/2*SIN(2*D111)/(1-Val!$D$18^2*SIN(D111)^2)^0.5)*Val!$D$4*(D111-D110)+1*(M111-Val!$D$28)*PI()/4*Val!$D$3^2*(SIN(E111)+Val!$D$19/2*SIN(2*E111)/(1-Val!$D$19^2*SIN(E111)^2)^0.5)*Val!$D$5*(E111-E110)</f>
        <v>0.45975700464767333</v>
      </c>
    </row>
    <row r="112" spans="2:23" ht="13.5">
      <c r="B112" s="32">
        <v>107</v>
      </c>
      <c r="C112" s="32">
        <f>B112-Data!$D$10</f>
        <v>17</v>
      </c>
      <c r="D112" s="30">
        <f t="shared" si="36"/>
        <v>1.8675022996339325</v>
      </c>
      <c r="E112" s="30">
        <f t="shared" si="37"/>
        <v>0.29670597283903605</v>
      </c>
      <c r="F112" s="26">
        <f>Val!$D$11*(1-COS(D112))+Val!$D$12*(1-COS(E112))</f>
        <v>0.0006680333875755892</v>
      </c>
      <c r="G112" s="26">
        <f>Val!$D$11*((1-COS(Calc!D112))+1/Val!$D$18*(1-(1-(Val!$D$18*SIN(Calc!D112))^2)^0.5))+Val!$D$12*((1-COS(Calc!E112))+1/Val!$D$19*(1-(1-(Val!$D$19*SIN(Calc!E112))^2)^0.5))</f>
        <v>0.000722774831794194</v>
      </c>
      <c r="H112" s="26">
        <f t="shared" si="38"/>
        <v>-5.4741444218604795E-05</v>
      </c>
      <c r="I112" s="22">
        <f>Val!$D$11*(1-COS(D112))+Val!$D$14+Val!$D$13+Val!$D$12*((1-COS(Calc!E112)))+Val!$D$15</f>
        <v>0.001368033387575589</v>
      </c>
      <c r="J112" s="22">
        <f>Val!$D$11*((1-COS(Calc!$D112))+1/Val!$D$18*(1-(1-(Val!$D$18*SIN(Calc!$D112))^2)^0.5))+Val!$D$14+Val!$D$13+Val!$D$12*((1-COS(Calc!$E112))+1/Val!$D$19*(1-(1-(Val!$D$19*SIN(Calc!$E112))^2)^0.5))+Val!$D$15</f>
        <v>0.0014227748317941938</v>
      </c>
      <c r="K112" s="44">
        <f t="shared" si="39"/>
        <v>-5.474144421860469E-05</v>
      </c>
      <c r="L112" s="50">
        <f>Val!$D$42*Val!$D$22/Val!$D$37/(1-Val!$D$39*COS(D112-Val!$D$40))</f>
        <v>147727.55867975036</v>
      </c>
      <c r="M112" s="50">
        <f>Val!$D$42*Val!$D$22/(Val!$D$11*((1-COS(Calc!D112))+1/Val!$D$18*(1-(1-(Val!$D$18*SIN(Calc!D112))^2)^0.5))/Val!$D$25+Val!$D$14/Val!$D$25+Val!$D$13/Val!$D$27+Val!$D$12*((1-COS(Calc!E112))+1/Val!$D$19*(1-(1-(Val!$D$19*SIN(Calc!E112))^2)^0.5))/Val!$D$26+Val!$D$15/Val!$D$26)</f>
        <v>142651.31087278033</v>
      </c>
      <c r="N112" s="16">
        <f t="shared" si="28"/>
        <v>1.6100012089318034</v>
      </c>
      <c r="O112" s="16">
        <f t="shared" si="29"/>
        <v>1.5529559537890063</v>
      </c>
      <c r="P112" s="16">
        <f t="shared" si="30"/>
        <v>-1.0946763237623777E-05</v>
      </c>
      <c r="Q112" s="16">
        <f t="shared" si="31"/>
        <v>-1.0935942710563586E-05</v>
      </c>
      <c r="R112" s="13">
        <f t="shared" si="24"/>
        <v>0.5557448708210914</v>
      </c>
      <c r="S112" s="13">
        <f t="shared" si="25"/>
        <v>0.5779828345448733</v>
      </c>
      <c r="T112" s="13">
        <f t="shared" si="26"/>
        <v>0.8716506564717299</v>
      </c>
      <c r="U112" s="13">
        <f t="shared" si="27"/>
        <v>0.8416987993307703</v>
      </c>
      <c r="W112" s="387">
        <f>1*(M112-Val!$D$28)*PI()/4*Val!$D$2^2*(SIN(D112)+Val!$D$18/2*SIN(2*D112)/(1-Val!$D$18^2*SIN(D112)^2)^0.5)*Val!$D$4*(D112-D111)+1*(M112-Val!$D$28)*PI()/4*Val!$D$3^2*(SIN(E112)+Val!$D$19/2*SIN(2*E112)/(1-Val!$D$19^2*SIN(E112)^2)^0.5)*Val!$D$5*(E112-E111)</f>
        <v>0.45015358021057916</v>
      </c>
    </row>
    <row r="113" spans="2:23" ht="13.5">
      <c r="B113" s="32">
        <v>108</v>
      </c>
      <c r="C113" s="32">
        <f>B113-Data!$D$10</f>
        <v>18</v>
      </c>
      <c r="D113" s="30">
        <f t="shared" si="36"/>
        <v>1.8849555921538759</v>
      </c>
      <c r="E113" s="30">
        <f t="shared" si="37"/>
        <v>0.3141592653589793</v>
      </c>
      <c r="F113" s="26">
        <f>Val!$D$11*(1-COS(D113))+Val!$D$12*(1-COS(E113))</f>
        <v>0.000678980150813213</v>
      </c>
      <c r="G113" s="26">
        <f>Val!$D$11*((1-COS(Calc!D113))+1/Val!$D$18*(1-(1-(Val!$D$18*SIN(Calc!D113))^2)^0.5))+Val!$D$12*((1-COS(Calc!E113))+1/Val!$D$19*(1-(1-(Val!$D$19*SIN(Calc!E113))^2)^0.5))</f>
        <v>0.0007337107745047576</v>
      </c>
      <c r="H113" s="26">
        <f t="shared" si="38"/>
        <v>-5.4730623691544604E-05</v>
      </c>
      <c r="I113" s="22">
        <f>Val!$D$11*(1-COS(D113))+Val!$D$14+Val!$D$13+Val!$D$12*((1-COS(Calc!E113)))+Val!$D$15</f>
        <v>0.001378980150813213</v>
      </c>
      <c r="J113" s="22">
        <f>Val!$D$11*((1-COS(Calc!$D113))+1/Val!$D$18*(1-(1-(Val!$D$18*SIN(Calc!$D113))^2)^0.5))+Val!$D$14+Val!$D$13+Val!$D$12*((1-COS(Calc!$E113))+1/Val!$D$19*(1-(1-(Val!$D$19*SIN(Calc!$E113))^2)^0.5))+Val!$D$15</f>
        <v>0.0014337107745047576</v>
      </c>
      <c r="K113" s="44">
        <f t="shared" si="39"/>
        <v>-5.4730623691544604E-05</v>
      </c>
      <c r="L113" s="50">
        <f>Val!$D$42*Val!$D$22/Val!$D$37/(1-Val!$D$39*COS(D113-Val!$D$40))</f>
        <v>146423.5385867457</v>
      </c>
      <c r="M113" s="50">
        <f>Val!$D$42*Val!$D$22/(Val!$D$11*((1-COS(Calc!D113))+1/Val!$D$18*(1-(1-(Val!$D$18*SIN(Calc!D113))^2)^0.5))/Val!$D$25+Val!$D$14/Val!$D$25+Val!$D$13/Val!$D$27+Val!$D$12*((1-COS(Calc!E113))+1/Val!$D$19*(1-(1-(Val!$D$19*SIN(Calc!E113))^2)^0.5))/Val!$D$26+Val!$D$15/Val!$D$26)</f>
        <v>141358.21530897188</v>
      </c>
      <c r="N113" s="16">
        <f t="shared" si="28"/>
        <v>1.6099433405281174</v>
      </c>
      <c r="O113" s="16">
        <f t="shared" si="29"/>
        <v>1.5524947535042786</v>
      </c>
      <c r="P113" s="16">
        <f t="shared" si="30"/>
        <v>-1.1044548953894153E-05</v>
      </c>
      <c r="Q113" s="16">
        <f t="shared" si="31"/>
        <v>-1.103348019259123E-05</v>
      </c>
      <c r="R113" s="13">
        <f t="shared" si="24"/>
        <v>0.5601918438092167</v>
      </c>
      <c r="S113" s="13">
        <f t="shared" si="25"/>
        <v>0.5824254118417328</v>
      </c>
      <c r="T113" s="13">
        <f t="shared" si="26"/>
        <v>0.8639564254137057</v>
      </c>
      <c r="U113" s="13">
        <f t="shared" si="27"/>
        <v>0.83406902728859</v>
      </c>
      <c r="W113" s="387">
        <f>1*(M113-Val!$D$28)*PI()/4*Val!$D$2^2*(SIN(D113)+Val!$D$18/2*SIN(2*D113)/(1-Val!$D$18^2*SIN(D113)^2)^0.5)*Val!$D$4*(D113-D112)+1*(M113-Val!$D$28)*PI()/4*Val!$D$3^2*(SIN(E113)+Val!$D$19/2*SIN(2*E113)/(1-Val!$D$19^2*SIN(E113)^2)^0.5)*Val!$D$5*(E113-E112)</f>
        <v>0.44004994311758533</v>
      </c>
    </row>
    <row r="114" spans="2:23" ht="13.5">
      <c r="B114" s="32">
        <v>109</v>
      </c>
      <c r="C114" s="32">
        <f>B114-Data!$D$10</f>
        <v>19</v>
      </c>
      <c r="D114" s="30">
        <f t="shared" si="36"/>
        <v>1.9024088846738192</v>
      </c>
      <c r="E114" s="30">
        <f t="shared" si="37"/>
        <v>0.33161255787892263</v>
      </c>
      <c r="F114" s="26">
        <f>Val!$D$11*(1-COS(D114))+Val!$D$12*(1-COS(E114))</f>
        <v>0.0006900246997671071</v>
      </c>
      <c r="G114" s="26">
        <f>Val!$D$11*((1-COS(Calc!D114))+1/Val!$D$18*(1-(1-(Val!$D$18*SIN(Calc!D114))^2)^0.5))+Val!$D$12*((1-COS(Calc!E114))+1/Val!$D$19*(1-(1-(Val!$D$19*SIN(Calc!E114))^2)^0.5))</f>
        <v>0.0007447442546973488</v>
      </c>
      <c r="H114" s="26">
        <f t="shared" si="38"/>
        <v>-5.471955493024168E-05</v>
      </c>
      <c r="I114" s="22">
        <f>Val!$D$11*(1-COS(D114))+Val!$D$14+Val!$D$13+Val!$D$12*((1-COS(Calc!E114)))+Val!$D$15</f>
        <v>0.001390024699767107</v>
      </c>
      <c r="J114" s="22">
        <f>Val!$D$11*((1-COS(Calc!$D114))+1/Val!$D$18*(1-(1-(Val!$D$18*SIN(Calc!$D114))^2)^0.5))+Val!$D$14+Val!$D$13+Val!$D$12*((1-COS(Calc!$E114))+1/Val!$D$19*(1-(1-(Val!$D$19*SIN(Calc!$E114))^2)^0.5))+Val!$D$15</f>
        <v>0.0014447442546973487</v>
      </c>
      <c r="K114" s="44">
        <f t="shared" si="39"/>
        <v>-5.471955493024168E-05</v>
      </c>
      <c r="L114" s="50">
        <f>Val!$D$42*Val!$D$22/Val!$D$37/(1-Val!$D$39*COS(D114-Val!$D$40))</f>
        <v>145112.73822254667</v>
      </c>
      <c r="M114" s="50">
        <f>Val!$D$42*Val!$D$22/(Val!$D$11*((1-COS(Calc!D114))+1/Val!$D$18*(1-(1-(Val!$D$18*SIN(Calc!D114))^2)^0.5))/Val!$D$25+Val!$D$14/Val!$D$25+Val!$D$13/Val!$D$27+Val!$D$12*((1-COS(Calc!E114))+1/Val!$D$19*(1-(1-(Val!$D$19*SIN(Calc!E114))^2)^0.5))/Val!$D$26+Val!$D$15/Val!$D$26)</f>
        <v>140057.02746216467</v>
      </c>
      <c r="N114" s="16">
        <f t="shared" si="28"/>
        <v>1.6090758440796773</v>
      </c>
      <c r="O114" s="16">
        <f t="shared" si="29"/>
        <v>1.5512375185705138</v>
      </c>
      <c r="P114" s="16">
        <f t="shared" si="30"/>
        <v>-1.1138970393562327E-05</v>
      </c>
      <c r="Q114" s="16">
        <f t="shared" si="31"/>
        <v>-1.1127707331956235E-05</v>
      </c>
      <c r="R114" s="13">
        <f t="shared" si="24"/>
        <v>0.5646785409084276</v>
      </c>
      <c r="S114" s="13">
        <f t="shared" si="25"/>
        <v>0.5869076124079086</v>
      </c>
      <c r="T114" s="13">
        <f t="shared" si="26"/>
        <v>0.8562221880908352</v>
      </c>
      <c r="U114" s="13">
        <f t="shared" si="27"/>
        <v>0.8263915075962672</v>
      </c>
      <c r="W114" s="387">
        <f>1*(M114-Val!$D$28)*PI()/4*Val!$D$2^2*(SIN(D114)+Val!$D$18/2*SIN(2*D114)/(1-Val!$D$18^2*SIN(D114)^2)^0.5)*Val!$D$4*(D114-D113)+1*(M114-Val!$D$28)*PI()/4*Val!$D$3^2*(SIN(E114)+Val!$D$19/2*SIN(2*E114)/(1-Val!$D$19^2*SIN(E114)^2)^0.5)*Val!$D$5*(E114-E113)</f>
        <v>0.4294723507436631</v>
      </c>
    </row>
    <row r="115" spans="2:23" ht="13.5">
      <c r="B115" s="32">
        <v>110</v>
      </c>
      <c r="C115" s="32">
        <f>B115-Data!$D$10</f>
        <v>20</v>
      </c>
      <c r="D115" s="30">
        <f t="shared" si="36"/>
        <v>1.9198621771937625</v>
      </c>
      <c r="E115" s="30">
        <f t="shared" si="37"/>
        <v>0.3490658503988659</v>
      </c>
      <c r="F115" s="26">
        <f>Val!$D$11*(1-COS(D115))+Val!$D$12*(1-COS(E115))</f>
        <v>0.0007011636701606695</v>
      </c>
      <c r="G115" s="26">
        <f>Val!$D$11*((1-COS(Calc!D115))+1/Val!$D$18*(1-(1-(Val!$D$18*SIN(Calc!D115))^2)^0.5))+Val!$D$12*((1-COS(Calc!E115))+1/Val!$D$19*(1-(1-(Val!$D$19*SIN(Calc!E115))^2)^0.5))</f>
        <v>0.000755871962029305</v>
      </c>
      <c r="H115" s="26">
        <f t="shared" si="38"/>
        <v>-5.470829186863559E-05</v>
      </c>
      <c r="I115" s="22">
        <f>Val!$D$11*(1-COS(D115))+Val!$D$14+Val!$D$13+Val!$D$12*((1-COS(Calc!E115)))+Val!$D$15</f>
        <v>0.0014011636701606693</v>
      </c>
      <c r="J115" s="22">
        <f>Val!$D$11*((1-COS(Calc!$D115))+1/Val!$D$18*(1-(1-(Val!$D$18*SIN(Calc!$D115))^2)^0.5))+Val!$D$14+Val!$D$13+Val!$D$12*((1-COS(Calc!$E115))+1/Val!$D$19*(1-(1-(Val!$D$19*SIN(Calc!$E115))^2)^0.5))+Val!$D$15</f>
        <v>0.001455871962029305</v>
      </c>
      <c r="K115" s="44">
        <f t="shared" si="39"/>
        <v>-5.47082918686357E-05</v>
      </c>
      <c r="L115" s="50">
        <f>Val!$D$42*Val!$D$22/Val!$D$37/(1-Val!$D$39*COS(D115-Val!$D$40))</f>
        <v>143796.52129207226</v>
      </c>
      <c r="M115" s="50">
        <f>Val!$D$42*Val!$D$22/(Val!$D$11*((1-COS(Calc!D115))+1/Val!$D$18*(1-(1-(Val!$D$18*SIN(Calc!D115))^2)^0.5))/Val!$D$25+Val!$D$14/Val!$D$25+Val!$D$13/Val!$D$27+Val!$D$12*((1-COS(Calc!E115))+1/Val!$D$19*(1-(1-(Val!$D$19*SIN(Calc!E115))^2)^0.5))/Val!$D$26+Val!$D$15/Val!$D$26)</f>
        <v>138749.28407978226</v>
      </c>
      <c r="N115" s="16">
        <f t="shared" si="28"/>
        <v>1.6074211797543954</v>
      </c>
      <c r="O115" s="16">
        <f t="shared" si="29"/>
        <v>1.5492082388858586</v>
      </c>
      <c r="P115" s="16">
        <f t="shared" si="30"/>
        <v>-1.1229998794943206E-05</v>
      </c>
      <c r="Q115" s="16">
        <f t="shared" si="31"/>
        <v>-1.121859631171313E-05</v>
      </c>
      <c r="R115" s="13">
        <f t="shared" si="24"/>
        <v>0.5692035954273242</v>
      </c>
      <c r="S115" s="13">
        <f t="shared" si="25"/>
        <v>0.5914280914619267</v>
      </c>
      <c r="T115" s="13">
        <f t="shared" si="26"/>
        <v>0.8484559908981072</v>
      </c>
      <c r="U115" s="13">
        <f t="shared" si="27"/>
        <v>0.8186753076675776</v>
      </c>
      <c r="W115" s="387">
        <f>1*(M115-Val!$D$28)*PI()/4*Val!$D$2^2*(SIN(D115)+Val!$D$18/2*SIN(2*D115)/(1-Val!$D$18^2*SIN(D115)^2)^0.5)*Val!$D$4*(D115-D114)+1*(M115-Val!$D$28)*PI()/4*Val!$D$3^2*(SIN(E115)+Val!$D$19/2*SIN(2*E115)/(1-Val!$D$19^2*SIN(E115)^2)^0.5)*Val!$D$5*(E115-E114)</f>
        <v>0.41844745730259475</v>
      </c>
    </row>
    <row r="116" spans="2:23" ht="13.5">
      <c r="B116" s="32">
        <v>111</v>
      </c>
      <c r="C116" s="32">
        <f>B116-Data!$D$10</f>
        <v>21</v>
      </c>
      <c r="D116" s="30">
        <f t="shared" si="36"/>
        <v>1.9373154697137058</v>
      </c>
      <c r="E116" s="30">
        <f t="shared" si="37"/>
        <v>0.3665191429188092</v>
      </c>
      <c r="F116" s="26">
        <f>Val!$D$11*(1-COS(D116))+Val!$D$12*(1-COS(E116))</f>
        <v>0.0007123936689556127</v>
      </c>
      <c r="G116" s="26">
        <f>Val!$D$11*((1-COS(Calc!D116))+1/Val!$D$18*(1-(1-(Val!$D$18*SIN(Calc!D116))^2)^0.5))+Val!$D$12*((1-COS(Calc!E116))+1/Val!$D$19*(1-(1-(Val!$D$19*SIN(Calc!E116))^2)^0.5))</f>
        <v>0.0007670905583410182</v>
      </c>
      <c r="H116" s="26">
        <f t="shared" si="38"/>
        <v>-5.469688938540551E-05</v>
      </c>
      <c r="I116" s="22">
        <f>Val!$D$11*(1-COS(D116))+Val!$D$14+Val!$D$13+Val!$D$12*((1-COS(Calc!E116)))+Val!$D$15</f>
        <v>0.0014123936689556125</v>
      </c>
      <c r="J116" s="22">
        <f>Val!$D$11*((1-COS(Calc!$D116))+1/Val!$D$18*(1-(1-(Val!$D$18*SIN(Calc!$D116))^2)^0.5))+Val!$D$14+Val!$D$13+Val!$D$12*((1-COS(Calc!$E116))+1/Val!$D$19*(1-(1-(Val!$D$19*SIN(Calc!$E116))^2)^0.5))+Val!$D$15</f>
        <v>0.001467090558341018</v>
      </c>
      <c r="K116" s="44">
        <f t="shared" si="39"/>
        <v>-5.469688938540551E-05</v>
      </c>
      <c r="L116" s="50">
        <f>Val!$D$42*Val!$D$22/Val!$D$37/(1-Val!$D$39*COS(D116-Val!$D$40))</f>
        <v>142476.20395135455</v>
      </c>
      <c r="M116" s="50">
        <f>Val!$D$42*Val!$D$22/(Val!$D$11*((1-COS(Calc!D116))+1/Val!$D$18*(1-(1-(Val!$D$18*SIN(Calc!D116))^2)^0.5))/Val!$D$25+Val!$D$14/Val!$D$25+Val!$D$13/Val!$D$27+Val!$D$12*((1-COS(Calc!E116))+1/Val!$D$19*(1-(1-(Val!$D$19*SIN(Calc!E116))^2)^0.5))/Val!$D$26+Val!$D$15/Val!$D$26)</f>
        <v>137436.4696171172</v>
      </c>
      <c r="N116" s="16">
        <f t="shared" si="28"/>
        <v>1.6050021552093916</v>
      </c>
      <c r="O116" s="16">
        <f t="shared" si="29"/>
        <v>1.5464312293102167</v>
      </c>
      <c r="P116" s="16">
        <f t="shared" si="30"/>
        <v>-1.1317606429903093E-05</v>
      </c>
      <c r="Q116" s="16">
        <f t="shared" si="31"/>
        <v>-1.1306120080985076E-05</v>
      </c>
      <c r="R116" s="13">
        <f t="shared" si="24"/>
        <v>0.5737656289904648</v>
      </c>
      <c r="S116" s="13">
        <f t="shared" si="25"/>
        <v>0.5959854929220592</v>
      </c>
      <c r="T116" s="13">
        <f t="shared" si="26"/>
        <v>0.8406655996733902</v>
      </c>
      <c r="U116" s="13">
        <f t="shared" si="27"/>
        <v>0.8109291863721714</v>
      </c>
      <c r="W116" s="387">
        <f>1*(M116-Val!$D$28)*PI()/4*Val!$D$2^2*(SIN(D116)+Val!$D$18/2*SIN(2*D116)/(1-Val!$D$18^2*SIN(D116)^2)^0.5)*Val!$D$4*(D116-D115)+1*(M116-Val!$D$28)*PI()/4*Val!$D$3^2*(SIN(E116)+Val!$D$19/2*SIN(2*E116)/(1-Val!$D$19^2*SIN(E116)^2)^0.5)*Val!$D$5*(E116-E115)</f>
        <v>0.40700221265408126</v>
      </c>
    </row>
    <row r="117" spans="2:23" ht="13.5">
      <c r="B117" s="32">
        <v>112</v>
      </c>
      <c r="C117" s="32">
        <f>B117-Data!$D$10</f>
        <v>22</v>
      </c>
      <c r="D117" s="30">
        <f t="shared" si="36"/>
        <v>1.9547687622336491</v>
      </c>
      <c r="E117" s="30">
        <f t="shared" si="37"/>
        <v>0.3839724354387525</v>
      </c>
      <c r="F117" s="26">
        <f>Val!$D$11*(1-COS(D117))+Val!$D$12*(1-COS(E117))</f>
        <v>0.0007237112753855158</v>
      </c>
      <c r="G117" s="26">
        <f>Val!$D$11*((1-COS(Calc!D117))+1/Val!$D$18*(1-(1-(Val!$D$18*SIN(Calc!D117))^2)^0.5))+Val!$D$12*((1-COS(Calc!E117))+1/Val!$D$19*(1-(1-(Val!$D$19*SIN(Calc!E117))^2)^0.5))</f>
        <v>0.0007783966784220032</v>
      </c>
      <c r="H117" s="26">
        <f t="shared" si="38"/>
        <v>-5.4685403036487494E-05</v>
      </c>
      <c r="I117" s="22">
        <f>Val!$D$11*(1-COS(D117))+Val!$D$14+Val!$D$13+Val!$D$12*((1-COS(Calc!E117)))+Val!$D$15</f>
        <v>0.0014237112753855156</v>
      </c>
      <c r="J117" s="22">
        <f>Val!$D$11*((1-COS(Calc!$D117))+1/Val!$D$18*(1-(1-(Val!$D$18*SIN(Calc!$D117))^2)^0.5))+Val!$D$14+Val!$D$13+Val!$D$12*((1-COS(Calc!$E117))+1/Val!$D$19*(1-(1-(Val!$D$19*SIN(Calc!$E117))^2)^0.5))+Val!$D$15</f>
        <v>0.0014783966784220033</v>
      </c>
      <c r="K117" s="44">
        <f t="shared" si="39"/>
        <v>-5.468540303648771E-05</v>
      </c>
      <c r="L117" s="50">
        <f>Val!$D$42*Val!$D$22/Val!$D$37/(1-Val!$D$39*COS(D117-Val!$D$40))</f>
        <v>141153.0537278479</v>
      </c>
      <c r="M117" s="50">
        <f>Val!$D$42*Val!$D$22/(Val!$D$11*((1-COS(Calc!D117))+1/Val!$D$18*(1-(1-(Val!$D$18*SIN(Calc!D117))^2)^0.5))/Val!$D$25+Val!$D$14/Val!$D$25+Val!$D$13/Val!$D$27+Val!$D$12*((1-COS(Calc!E117))+1/Val!$D$19*(1-(1-(Val!$D$19*SIN(Calc!E117))^2)^0.5))/Val!$D$26+Val!$D$15/Val!$D$26)</f>
        <v>136120.01452301058</v>
      </c>
      <c r="N117" s="16">
        <f t="shared" si="28"/>
        <v>1.6018418444360378</v>
      </c>
      <c r="O117" s="16">
        <f t="shared" si="29"/>
        <v>1.542931036239544</v>
      </c>
      <c r="P117" s="16">
        <f t="shared" si="30"/>
        <v>-1.1401766612308866E-05</v>
      </c>
      <c r="Q117" s="16">
        <f t="shared" si="31"/>
        <v>-1.139025236014939E-05</v>
      </c>
      <c r="R117" s="13">
        <f t="shared" si="24"/>
        <v>0.5783632519582323</v>
      </c>
      <c r="S117" s="13">
        <f t="shared" si="25"/>
        <v>0.6005784497175289</v>
      </c>
      <c r="T117" s="13">
        <f t="shared" si="26"/>
        <v>0.8328584933268316</v>
      </c>
      <c r="U117" s="13">
        <f t="shared" si="27"/>
        <v>0.8031615839204098</v>
      </c>
      <c r="W117" s="387">
        <f>1*(M117-Val!$D$28)*PI()/4*Val!$D$2^2*(SIN(D117)+Val!$D$18/2*SIN(2*D117)/(1-Val!$D$18^2*SIN(D117)^2)^0.5)*Val!$D$4*(D117-D116)+1*(M117-Val!$D$28)*PI()/4*Val!$D$3^2*(SIN(E117)+Val!$D$19/2*SIN(2*E117)/(1-Val!$D$19^2*SIN(E117)^2)^0.5)*Val!$D$5*(E117-E116)</f>
        <v>0.3951637658709135</v>
      </c>
    </row>
    <row r="118" spans="2:23" ht="13.5">
      <c r="B118" s="32">
        <v>113</v>
      </c>
      <c r="C118" s="32">
        <f>B118-Data!$D$10</f>
        <v>23</v>
      </c>
      <c r="D118" s="30">
        <f t="shared" si="36"/>
        <v>1.9722220547535925</v>
      </c>
      <c r="E118" s="30">
        <f t="shared" si="37"/>
        <v>0.4014257279586958</v>
      </c>
      <c r="F118" s="26">
        <f>Val!$D$11*(1-COS(D118))+Val!$D$12*(1-COS(E118))</f>
        <v>0.0007351130419978246</v>
      </c>
      <c r="G118" s="26">
        <f>Val!$D$11*((1-COS(Calc!D118))+1/Val!$D$18*(1-(1-(Val!$D$18*SIN(Calc!D118))^2)^0.5))+Val!$D$12*((1-COS(Calc!E118))+1/Val!$D$19*(1-(1-(Val!$D$19*SIN(Calc!E118))^2)^0.5))</f>
        <v>0.0007897869307821526</v>
      </c>
      <c r="H118" s="26">
        <f t="shared" si="38"/>
        <v>-5.467388878432802E-05</v>
      </c>
      <c r="I118" s="22">
        <f>Val!$D$11*(1-COS(D118))+Val!$D$14+Val!$D$13+Val!$D$12*((1-COS(Calc!E118)))+Val!$D$15</f>
        <v>0.0014351130419978245</v>
      </c>
      <c r="J118" s="22">
        <f>Val!$D$11*((1-COS(Calc!$D118))+1/Val!$D$18*(1-(1-(Val!$D$18*SIN(Calc!$D118))^2)^0.5))+Val!$D$14+Val!$D$13+Val!$D$12*((1-COS(Calc!$E118))+1/Val!$D$19*(1-(1-(Val!$D$19*SIN(Calc!$E118))^2)^0.5))+Val!$D$15</f>
        <v>0.0014897869307821524</v>
      </c>
      <c r="K118" s="44">
        <f t="shared" si="39"/>
        <v>-5.467388878432791E-05</v>
      </c>
      <c r="L118" s="50">
        <f>Val!$D$42*Val!$D$22/Val!$D$37/(1-Val!$D$39*COS(D118-Val!$D$40))</f>
        <v>139828.28870846488</v>
      </c>
      <c r="M118" s="50">
        <f>Val!$D$42*Val!$D$22/(Val!$D$11*((1-COS(Calc!D118))+1/Val!$D$18*(1-(1-(Val!$D$18*SIN(Calc!D118))^2)^0.5))/Val!$D$25+Val!$D$14/Val!$D$25+Val!$D$13/Val!$D$27+Val!$D$12*((1-COS(Calc!E118))+1/Val!$D$19*(1-(1-(Val!$D$19*SIN(Calc!E118))^2)^0.5))/Val!$D$26+Val!$D$15/Val!$D$26)</f>
        <v>134801.29388237253</v>
      </c>
      <c r="N118" s="16">
        <f t="shared" si="28"/>
        <v>1.5979635107438193</v>
      </c>
      <c r="O118" s="16">
        <f t="shared" si="29"/>
        <v>1.538732349387022</v>
      </c>
      <c r="P118" s="16">
        <f t="shared" si="30"/>
        <v>-1.1482453706152776E-05</v>
      </c>
      <c r="Q118" s="16">
        <f t="shared" si="31"/>
        <v>-1.1470967647027254E-05</v>
      </c>
      <c r="R118" s="13">
        <f t="shared" si="24"/>
        <v>0.5829950638501331</v>
      </c>
      <c r="S118" s="13">
        <f t="shared" si="25"/>
        <v>0.6052055841018211</v>
      </c>
      <c r="T118" s="13">
        <f t="shared" si="26"/>
        <v>0.8250418590499512</v>
      </c>
      <c r="U118" s="13">
        <f t="shared" si="27"/>
        <v>0.7953806138537018</v>
      </c>
      <c r="W118" s="387">
        <f>1*(M118-Val!$D$28)*PI()/4*Val!$D$2^2*(SIN(D118)+Val!$D$18/2*SIN(2*D118)/(1-Val!$D$18^2*SIN(D118)^2)^0.5)*Val!$D$4*(D118-D117)+1*(M118-Val!$D$28)*PI()/4*Val!$D$3^2*(SIN(E118)+Val!$D$19/2*SIN(2*E118)/(1-Val!$D$19^2*SIN(E118)^2)^0.5)*Val!$D$5*(E118-E117)</f>
        <v>0.3829593738151444</v>
      </c>
    </row>
    <row r="119" spans="2:23" ht="13.5">
      <c r="B119" s="32">
        <v>114</v>
      </c>
      <c r="C119" s="32">
        <f>B119-Data!$D$10</f>
        <v>24</v>
      </c>
      <c r="D119" s="30">
        <f t="shared" si="36"/>
        <v>1.9896753472735358</v>
      </c>
      <c r="E119" s="30">
        <f t="shared" si="37"/>
        <v>0.4188790204786391</v>
      </c>
      <c r="F119" s="26">
        <f>Val!$D$11*(1-COS(D119))+Val!$D$12*(1-COS(E119))</f>
        <v>0.0007465954957039774</v>
      </c>
      <c r="G119" s="26">
        <f>Val!$D$11*((1-COS(Calc!D119))+1/Val!$D$18*(1-(1-(Val!$D$18*SIN(Calc!D119))^2)^0.5))+Val!$D$12*((1-COS(Calc!E119))+1/Val!$D$19*(1-(1-(Val!$D$19*SIN(Calc!E119))^2)^0.5))</f>
        <v>0.0008012578984291799</v>
      </c>
      <c r="H119" s="26">
        <f t="shared" si="38"/>
        <v>-5.46624027252025E-05</v>
      </c>
      <c r="I119" s="22">
        <f>Val!$D$11*(1-COS(D119))+Val!$D$14+Val!$D$13+Val!$D$12*((1-COS(Calc!E119)))+Val!$D$15</f>
        <v>0.0014465954957039774</v>
      </c>
      <c r="J119" s="22">
        <f>Val!$D$11*((1-COS(Calc!$D119))+1/Val!$D$18*(1-(1-(Val!$D$18*SIN(Calc!$D119))^2)^0.5))+Val!$D$14+Val!$D$13+Val!$D$12*((1-COS(Calc!$E119))+1/Val!$D$19*(1-(1-(Val!$D$19*SIN(Calc!$E119))^2)^0.5))+Val!$D$15</f>
        <v>0.0015012578984291798</v>
      </c>
      <c r="K119" s="44">
        <f t="shared" si="39"/>
        <v>-5.466240272520239E-05</v>
      </c>
      <c r="L119" s="50">
        <f>Val!$D$42*Val!$D$22/Val!$D$37/(1-Val!$D$39*COS(D119-Val!$D$40))</f>
        <v>138503.07697995915</v>
      </c>
      <c r="M119" s="50">
        <f>Val!$D$42*Val!$D$22/(Val!$D$11*((1-COS(Calc!D119))+1/Val!$D$18*(1-(1-(Val!$D$18*SIN(Calc!D119))^2)^0.5))/Val!$D$25+Val!$D$14/Val!$D$25+Val!$D$13/Val!$D$27+Val!$D$12*((1-COS(Calc!E119))+1/Val!$D$19*(1-(1-(Val!$D$19*SIN(Calc!E119))^2)^0.5))/Val!$D$26+Val!$D$15/Val!$D$26)</f>
        <v>133481.6263969425</v>
      </c>
      <c r="N119" s="16">
        <f t="shared" si="28"/>
        <v>1.5933905340063228</v>
      </c>
      <c r="O119" s="16">
        <f t="shared" si="29"/>
        <v>1.533859918922833</v>
      </c>
      <c r="P119" s="16">
        <f t="shared" si="30"/>
        <v>-1.1559643133364993E-05</v>
      </c>
      <c r="Q119" s="16">
        <f t="shared" si="31"/>
        <v>-1.1548241224078695E-05</v>
      </c>
      <c r="R119" s="13">
        <f t="shared" si="24"/>
        <v>0.5876596537713952</v>
      </c>
      <c r="S119" s="13">
        <f t="shared" si="25"/>
        <v>0.6098655079685096</v>
      </c>
      <c r="T119" s="13">
        <f t="shared" si="26"/>
        <v>0.8172225890136801</v>
      </c>
      <c r="U119" s="13">
        <f t="shared" si="27"/>
        <v>0.7875940570305899</v>
      </c>
      <c r="W119" s="387">
        <f>1*(M119-Val!$D$28)*PI()/4*Val!$D$2^2*(SIN(D119)+Val!$D$18/2*SIN(2*D119)/(1-Val!$D$18^2*SIN(D119)^2)^0.5)*Val!$D$4*(D119-D118)+1*(M119-Val!$D$28)*PI()/4*Val!$D$3^2*(SIN(E119)+Val!$D$19/2*SIN(2*E119)/(1-Val!$D$19^2*SIN(E119)^2)^0.5)*Val!$D$5*(E119-E118)</f>
        <v>0.3704163149080172</v>
      </c>
    </row>
    <row r="120" spans="2:23" ht="13.5">
      <c r="B120" s="32">
        <v>115</v>
      </c>
      <c r="C120" s="32">
        <f>B120-Data!$D$10</f>
        <v>25</v>
      </c>
      <c r="D120" s="30">
        <f t="shared" si="36"/>
        <v>2.007128639793479</v>
      </c>
      <c r="E120" s="30">
        <f t="shared" si="37"/>
        <v>0.4363323129985824</v>
      </c>
      <c r="F120" s="26">
        <f>Val!$D$11*(1-COS(D120))+Val!$D$12*(1-COS(E120))</f>
        <v>0.0007581551388373424</v>
      </c>
      <c r="G120" s="26">
        <f>Val!$D$11*((1-COS(Calc!D120))+1/Val!$D$18*(1-(1-(Val!$D$18*SIN(Calc!D120))^2)^0.5))+Val!$D$12*((1-COS(Calc!E120))+1/Val!$D$19*(1-(1-(Val!$D$19*SIN(Calc!E120))^2)^0.5))</f>
        <v>0.0008128061396532586</v>
      </c>
      <c r="H120" s="26">
        <f t="shared" si="38"/>
        <v>-5.46510008159162E-05</v>
      </c>
      <c r="I120" s="22">
        <f>Val!$D$11*(1-COS(D120))+Val!$D$14+Val!$D$13+Val!$D$12*((1-COS(Calc!E120)))+Val!$D$15</f>
        <v>0.0014581551388373423</v>
      </c>
      <c r="J120" s="22">
        <f>Val!$D$11*((1-COS(Calc!$D120))+1/Val!$D$18*(1-(1-(Val!$D$18*SIN(Calc!$D120))^2)^0.5))+Val!$D$14+Val!$D$13+Val!$D$12*((1-COS(Calc!$E120))+1/Val!$D$19*(1-(1-(Val!$D$19*SIN(Calc!$E120))^2)^0.5))+Val!$D$15</f>
        <v>0.0015128061396532586</v>
      </c>
      <c r="K120" s="44">
        <f t="shared" si="39"/>
        <v>-5.465100081591631E-05</v>
      </c>
      <c r="L120" s="50">
        <f>Val!$D$42*Val!$D$22/Val!$D$37/(1-Val!$D$39*COS(D120-Val!$D$40))</f>
        <v>137178.53630571053</v>
      </c>
      <c r="M120" s="50">
        <f>Val!$D$42*Val!$D$22/(Val!$D$11*((1-COS(Calc!D120))+1/Val!$D$18*(1-(1-(Val!$D$18*SIN(Calc!D120))^2)^0.5))/Val!$D$25+Val!$D$14/Val!$D$25+Val!$D$13/Val!$D$27+Val!$D$12*((1-COS(Calc!E120))+1/Val!$D$19*(1-(1-(Val!$D$19*SIN(Calc!E120))^2)^0.5))/Val!$D$26+Val!$D$15/Val!$D$26)</f>
        <v>132162.273684507</v>
      </c>
      <c r="N120" s="16">
        <f t="shared" si="28"/>
        <v>1.588146342247411</v>
      </c>
      <c r="O120" s="16">
        <f t="shared" si="29"/>
        <v>1.528338478074772</v>
      </c>
      <c r="P120" s="16">
        <f t="shared" si="30"/>
        <v>-1.1633311381297959E-05</v>
      </c>
      <c r="Q120" s="16">
        <f t="shared" si="31"/>
        <v>-1.1622049166616177E-05</v>
      </c>
      <c r="R120" s="13">
        <f t="shared" si="24"/>
        <v>0.5923556008427416</v>
      </c>
      <c r="S120" s="13">
        <f t="shared" si="25"/>
        <v>0.6145568231700049</v>
      </c>
      <c r="T120" s="13">
        <f t="shared" si="26"/>
        <v>0.8094072784612654</v>
      </c>
      <c r="U120" s="13">
        <f t="shared" si="27"/>
        <v>0.7798093574918585</v>
      </c>
      <c r="W120" s="387">
        <f>1*(M120-Val!$D$28)*PI()/4*Val!$D$2^2*(SIN(D120)+Val!$D$18/2*SIN(2*D120)/(1-Val!$D$18^2*SIN(D120)^2)^0.5)*Val!$D$4*(D120-D119)+1*(M120-Val!$D$28)*PI()/4*Val!$D$3^2*(SIN(E120)+Val!$D$19/2*SIN(2*E120)/(1-Val!$D$19^2*SIN(E120)^2)^0.5)*Val!$D$5*(E120-E119)</f>
        <v>0.3575618082186016</v>
      </c>
    </row>
    <row r="121" spans="2:23" ht="13.5">
      <c r="B121" s="32">
        <v>116</v>
      </c>
      <c r="C121" s="32">
        <f>B121-Data!$D$10</f>
        <v>26</v>
      </c>
      <c r="D121" s="30">
        <f t="shared" si="36"/>
        <v>2.0245819323134224</v>
      </c>
      <c r="E121" s="30">
        <f t="shared" si="37"/>
        <v>0.4537856055185257</v>
      </c>
      <c r="F121" s="26">
        <f>Val!$D$11*(1-COS(D121))+Val!$D$12*(1-COS(E121))</f>
        <v>0.0007697884502186403</v>
      </c>
      <c r="G121" s="26">
        <f>Val!$D$11*((1-COS(Calc!D121))+1/Val!$D$18*(1-(1-(Val!$D$18*SIN(Calc!D121))^2)^0.5))+Val!$D$12*((1-COS(Calc!E121))+1/Val!$D$19*(1-(1-(Val!$D$19*SIN(Calc!E121))^2)^0.5))</f>
        <v>0.0008244281888198748</v>
      </c>
      <c r="H121" s="26">
        <f t="shared" si="38"/>
        <v>-5.463973860123442E-05</v>
      </c>
      <c r="I121" s="22">
        <f>Val!$D$11*(1-COS(D121))+Val!$D$14+Val!$D$13+Val!$D$12*((1-COS(Calc!E121)))+Val!$D$15</f>
        <v>0.0014697884502186402</v>
      </c>
      <c r="J121" s="22">
        <f>Val!$D$11*((1-COS(Calc!$D121))+1/Val!$D$18*(1-(1-(Val!$D$18*SIN(Calc!$D121))^2)^0.5))+Val!$D$14+Val!$D$13+Val!$D$12*((1-COS(Calc!$E121))+1/Val!$D$19*(1-(1-(Val!$D$19*SIN(Calc!$E121))^2)^0.5))+Val!$D$15</f>
        <v>0.0015244281888198746</v>
      </c>
      <c r="K121" s="44">
        <f t="shared" si="39"/>
        <v>-5.463973860123442E-05</v>
      </c>
      <c r="L121" s="50">
        <f>Val!$D$42*Val!$D$22/Val!$D$37/(1-Val!$D$39*COS(D121-Val!$D$40))</f>
        <v>135855.73402260887</v>
      </c>
      <c r="M121" s="50">
        <f>Val!$D$42*Val!$D$22/(Val!$D$11*((1-COS(Calc!D121))+1/Val!$D$18*(1-(1-(Val!$D$18*SIN(Calc!D121))^2)^0.5))/Val!$D$25+Val!$D$14/Val!$D$25+Val!$D$13/Val!$D$27+Val!$D$12*((1-COS(Calc!E121))+1/Val!$D$19*(1-(1-(Val!$D$19*SIN(Calc!E121))^2)^0.5))/Val!$D$26+Val!$D$15/Val!$D$26)</f>
        <v>130844.43987593308</v>
      </c>
      <c r="N121" s="16">
        <f t="shared" si="28"/>
        <v>1.5822543476089896</v>
      </c>
      <c r="O121" s="16">
        <f t="shared" si="29"/>
        <v>1.5221926712279457</v>
      </c>
      <c r="P121" s="16">
        <f t="shared" si="30"/>
        <v>-1.1703436009889712E-05</v>
      </c>
      <c r="Q121" s="16">
        <f t="shared" si="31"/>
        <v>-1.1692368352007095E-05</v>
      </c>
      <c r="R121" s="13">
        <f t="shared" si="24"/>
        <v>0.597081474633204</v>
      </c>
      <c r="S121" s="13">
        <f t="shared" si="25"/>
        <v>0.6192781218396403</v>
      </c>
      <c r="T121" s="13">
        <f t="shared" si="26"/>
        <v>0.8016022250998446</v>
      </c>
      <c r="U121" s="13">
        <f t="shared" si="27"/>
        <v>0.772033620082874</v>
      </c>
      <c r="W121" s="387">
        <f>1*(M121-Val!$D$28)*PI()/4*Val!$D$2^2*(SIN(D121)+Val!$D$18/2*SIN(2*D121)/(1-Val!$D$18^2*SIN(D121)^2)^0.5)*Val!$D$4*(D121-D120)+1*(M121-Val!$D$28)*PI()/4*Val!$D$3^2*(SIN(E121)+Val!$D$19/2*SIN(2*E121)/(1-Val!$D$19^2*SIN(E121)^2)^0.5)*Val!$D$5*(E121-E120)</f>
        <v>0.34442293794082046</v>
      </c>
    </row>
    <row r="122" spans="2:23" ht="13.5">
      <c r="B122" s="32">
        <v>117</v>
      </c>
      <c r="C122" s="32">
        <f>B122-Data!$D$10</f>
        <v>27</v>
      </c>
      <c r="D122" s="30">
        <f t="shared" si="36"/>
        <v>2.0420352248333655</v>
      </c>
      <c r="E122" s="30">
        <f t="shared" si="37"/>
        <v>0.47123889803846897</v>
      </c>
      <c r="F122" s="26">
        <f>Val!$D$11*(1-COS(D122))+Val!$D$12*(1-COS(E122))</f>
        <v>0.0007814918862285301</v>
      </c>
      <c r="G122" s="26">
        <f>Val!$D$11*((1-COS(Calc!D122))+1/Val!$D$18*(1-(1-(Val!$D$18*SIN(Calc!D122))^2)^0.5))+Val!$D$12*((1-COS(Calc!E122))+1/Val!$D$19*(1-(1-(Val!$D$19*SIN(Calc!E122))^2)^0.5))</f>
        <v>0.0008361205571718819</v>
      </c>
      <c r="H122" s="26">
        <f t="shared" si="38"/>
        <v>-5.46286709433518E-05</v>
      </c>
      <c r="I122" s="22">
        <f>Val!$D$11*(1-COS(D122))+Val!$D$14+Val!$D$13+Val!$D$12*((1-COS(Calc!E122)))+Val!$D$15</f>
        <v>0.00148149188622853</v>
      </c>
      <c r="J122" s="22">
        <f>Val!$D$11*((1-COS(Calc!$D122))+1/Val!$D$18*(1-(1-(Val!$D$18*SIN(Calc!$D122))^2)^0.5))+Val!$D$14+Val!$D$13+Val!$D$12*((1-COS(Calc!$E122))+1/Val!$D$19*(1-(1-(Val!$D$19*SIN(Calc!$E122))^2)^0.5))+Val!$D$15</f>
        <v>0.0015361205571718817</v>
      </c>
      <c r="K122" s="44">
        <f t="shared" si="39"/>
        <v>-5.46286709433518E-05</v>
      </c>
      <c r="L122" s="50">
        <f>Val!$D$42*Val!$D$22/Val!$D$37/(1-Val!$D$39*COS(D122-Val!$D$40))</f>
        <v>134535.68714155914</v>
      </c>
      <c r="M122" s="50">
        <f>Val!$D$42*Val!$D$22/(Val!$D$11*((1-COS(Calc!D122))+1/Val!$D$18*(1-(1-(Val!$D$18*SIN(Calc!D122))^2)^0.5))/Val!$D$25+Val!$D$14/Val!$D$25+Val!$D$13/Val!$D$27+Val!$D$12*((1-COS(Calc!E122))+1/Val!$D$19*(1-(1-(Val!$D$19*SIN(Calc!E122))^2)^0.5))/Val!$D$26+Val!$D$15/Val!$D$26)</f>
        <v>129529.27148882192</v>
      </c>
      <c r="N122" s="16">
        <f t="shared" si="28"/>
        <v>1.575737886706425</v>
      </c>
      <c r="O122" s="16">
        <f t="shared" si="29"/>
        <v>1.5154469875231158</v>
      </c>
      <c r="P122" s="16">
        <f t="shared" si="30"/>
        <v>-1.176999565849924E-05</v>
      </c>
      <c r="Q122" s="16">
        <f t="shared" si="31"/>
        <v>-1.1759176469878932E-05</v>
      </c>
      <c r="R122" s="13">
        <f t="shared" si="24"/>
        <v>0.6018358355958452</v>
      </c>
      <c r="S122" s="13">
        <f t="shared" si="25"/>
        <v>0.6240279867174956</v>
      </c>
      <c r="T122" s="13">
        <f t="shared" si="26"/>
        <v>0.7938134296934655</v>
      </c>
      <c r="U122" s="13">
        <f t="shared" si="27"/>
        <v>0.7642736097080904</v>
      </c>
      <c r="W122" s="387">
        <f>1*(M122-Val!$D$28)*PI()/4*Val!$D$2^2*(SIN(D122)+Val!$D$18/2*SIN(2*D122)/(1-Val!$D$18^2*SIN(D122)^2)^0.5)*Val!$D$4*(D122-D121)+1*(M122-Val!$D$28)*PI()/4*Val!$D$3^2*(SIN(E122)+Val!$D$19/2*SIN(2*E122)/(1-Val!$D$19^2*SIN(E122)^2)^0.5)*Val!$D$5*(E122-E121)</f>
        <v>0.331026583278085</v>
      </c>
    </row>
    <row r="123" spans="2:23" ht="13.5">
      <c r="B123" s="32">
        <v>118</v>
      </c>
      <c r="C123" s="32">
        <f>B123-Data!$D$10</f>
        <v>28</v>
      </c>
      <c r="D123" s="30">
        <f t="shared" si="36"/>
        <v>2.059488517353309</v>
      </c>
      <c r="E123" s="30">
        <f t="shared" si="37"/>
        <v>0.4886921905584123</v>
      </c>
      <c r="F123" s="26">
        <f>Val!$D$11*(1-COS(D123))+Val!$D$12*(1-COS(E123))</f>
        <v>0.0007932618818870293</v>
      </c>
      <c r="G123" s="26">
        <f>Val!$D$11*((1-COS(Calc!D123))+1/Val!$D$18*(1-(1-(Val!$D$18*SIN(Calc!D123))^2)^0.5))+Val!$D$12*((1-COS(Calc!E123))+1/Val!$D$19*(1-(1-(Val!$D$19*SIN(Calc!E123))^2)^0.5))</f>
        <v>0.0008478797336417608</v>
      </c>
      <c r="H123" s="26">
        <f t="shared" si="38"/>
        <v>-5.461785175473149E-05</v>
      </c>
      <c r="I123" s="22">
        <f>Val!$D$11*(1-COS(D123))+Val!$D$14+Val!$D$13+Val!$D$12*((1-COS(Calc!E123)))+Val!$D$15</f>
        <v>0.0014932618818870292</v>
      </c>
      <c r="J123" s="22">
        <f>Val!$D$11*((1-COS(Calc!$D123))+1/Val!$D$18*(1-(1-(Val!$D$18*SIN(Calc!$D123))^2)^0.5))+Val!$D$14+Val!$D$13+Val!$D$12*((1-COS(Calc!$E123))+1/Val!$D$19*(1-(1-(Val!$D$19*SIN(Calc!$E123))^2)^0.5))+Val!$D$15</f>
        <v>0.0015478797336417607</v>
      </c>
      <c r="K123" s="44">
        <f t="shared" si="39"/>
        <v>-5.461785175473149E-05</v>
      </c>
      <c r="L123" s="50">
        <f>Val!$D$42*Val!$D$22/Val!$D$37/(1-Val!$D$39*COS(D123-Val!$D$40))</f>
        <v>133219.3626351275</v>
      </c>
      <c r="M123" s="50">
        <f>Val!$D$42*Val!$D$22/(Val!$D$11*((1-COS(Calc!D123))+1/Val!$D$18*(1-(1-(Val!$D$18*SIN(Calc!D123))^2)^0.5))/Val!$D$25+Val!$D$14/Val!$D$25+Val!$D$13/Val!$D$27+Val!$D$12*((1-COS(Calc!E123))+1/Val!$D$19*(1-(1-(Val!$D$19*SIN(Calc!E123))^2)^0.5))/Val!$D$26+Val!$D$15/Val!$D$26)</f>
        <v>128217.85755629874</v>
      </c>
      <c r="N123" s="16">
        <f t="shared" si="28"/>
        <v>1.5686201653447724</v>
      </c>
      <c r="O123" s="16">
        <f t="shared" si="29"/>
        <v>1.5081256999026693</v>
      </c>
      <c r="P123" s="16">
        <f t="shared" si="30"/>
        <v>-1.1832970052412452E-05</v>
      </c>
      <c r="Q123" s="16">
        <f t="shared" si="31"/>
        <v>-1.1822452033286002E-05</v>
      </c>
      <c r="R123" s="13">
        <f t="shared" si="24"/>
        <v>0.6066172355062592</v>
      </c>
      <c r="S123" s="13">
        <f t="shared" si="25"/>
        <v>0.6288049914803667</v>
      </c>
      <c r="T123" s="13">
        <f t="shared" si="26"/>
        <v>0.78604659776031</v>
      </c>
      <c r="U123" s="13">
        <f t="shared" si="27"/>
        <v>0.7565357520909612</v>
      </c>
      <c r="W123" s="387">
        <f>1*(M123-Val!$D$28)*PI()/4*Val!$D$2^2*(SIN(D123)+Val!$D$18/2*SIN(2*D123)/(1-Val!$D$18^2*SIN(D123)^2)^0.5)*Val!$D$4*(D123-D122)+1*(M123-Val!$D$28)*PI()/4*Val!$D$3^2*(SIN(E123)+Val!$D$19/2*SIN(2*E123)/(1-Val!$D$19^2*SIN(E123)^2)^0.5)*Val!$D$5*(E123-E122)</f>
        <v>0.3173993537095234</v>
      </c>
    </row>
    <row r="124" spans="2:23" ht="13.5">
      <c r="B124" s="32">
        <v>119</v>
      </c>
      <c r="C124" s="32">
        <f>B124-Data!$D$10</f>
        <v>29</v>
      </c>
      <c r="D124" s="30">
        <f t="shared" si="36"/>
        <v>2.076941809873252</v>
      </c>
      <c r="E124" s="30">
        <f t="shared" si="37"/>
        <v>0.5061454830783556</v>
      </c>
      <c r="F124" s="26">
        <f>Val!$D$11*(1-COS(D124))+Val!$D$12*(1-COS(E124))</f>
        <v>0.0008050948519394417</v>
      </c>
      <c r="G124" s="26">
        <f>Val!$D$11*((1-COS(Calc!D124))+1/Val!$D$18*(1-(1-(Val!$D$18*SIN(Calc!D124))^2)^0.5))+Val!$D$12*((1-COS(Calc!E124))+1/Val!$D$19*(1-(1-(Val!$D$19*SIN(Calc!E124))^2)^0.5))</f>
        <v>0.0008597021856750468</v>
      </c>
      <c r="H124" s="26">
        <f t="shared" si="38"/>
        <v>-5.460733373560504E-05</v>
      </c>
      <c r="I124" s="22">
        <f>Val!$D$11*(1-COS(D124))+Val!$D$14+Val!$D$13+Val!$D$12*((1-COS(Calc!E124)))+Val!$D$15</f>
        <v>0.0015050948519394417</v>
      </c>
      <c r="J124" s="22">
        <f>Val!$D$11*((1-COS(Calc!$D124))+1/Val!$D$18*(1-(1-(Val!$D$18*SIN(Calc!$D124))^2)^0.5))+Val!$D$14+Val!$D$13+Val!$D$12*((1-COS(Calc!$E124))+1/Val!$D$19*(1-(1-(Val!$D$19*SIN(Calc!$E124))^2)^0.5))+Val!$D$15</f>
        <v>0.0015597021856750468</v>
      </c>
      <c r="K124" s="44">
        <f t="shared" si="39"/>
        <v>-5.460733373560504E-05</v>
      </c>
      <c r="L124" s="50">
        <f>Val!$D$42*Val!$D$22/Val!$D$37/(1-Val!$D$39*COS(D124-Val!$D$40))</f>
        <v>131907.67789599506</v>
      </c>
      <c r="M124" s="50">
        <f>Val!$D$42*Val!$D$22/(Val!$D$11*((1-COS(Calc!D124))+1/Val!$D$18*(1-(1-(Val!$D$18*SIN(Calc!D124))^2)^0.5))/Val!$D$25+Val!$D$14/Val!$D$25+Val!$D$13/Val!$D$27+Val!$D$12*((1-COS(Calc!E124))+1/Val!$D$19*(1-(1-(Val!$D$19*SIN(Calc!E124))^2)^0.5))/Val!$D$26+Val!$D$15/Val!$D$26)</f>
        <v>126911.22998942221</v>
      </c>
      <c r="N124" s="16">
        <f t="shared" si="28"/>
        <v>1.5609242075419392</v>
      </c>
      <c r="O124" s="16">
        <f t="shared" si="29"/>
        <v>1.5002528095183878</v>
      </c>
      <c r="P124" s="16">
        <f t="shared" si="30"/>
        <v>-1.1892340009019204E-05</v>
      </c>
      <c r="Q124" s="16">
        <f t="shared" si="31"/>
        <v>-1.1882174390827902E-05</v>
      </c>
      <c r="R124" s="13">
        <f t="shared" si="24"/>
        <v>0.6114242179037152</v>
      </c>
      <c r="S124" s="13">
        <f t="shared" si="25"/>
        <v>0.6336077010762713</v>
      </c>
      <c r="T124" s="13">
        <f t="shared" si="26"/>
        <v>0.7783071422777531</v>
      </c>
      <c r="U124" s="13">
        <f t="shared" si="27"/>
        <v>0.748826135912297</v>
      </c>
      <c r="W124" s="387">
        <f>1*(M124-Val!$D$28)*PI()/4*Val!$D$2^2*(SIN(D124)+Val!$D$18/2*SIN(2*D124)/(1-Val!$D$18^2*SIN(D124)^2)^0.5)*Val!$D$4*(D124-D123)+1*(M124-Val!$D$28)*PI()/4*Val!$D$3^2*(SIN(E124)+Val!$D$19/2*SIN(2*E124)/(1-Val!$D$19^2*SIN(E124)^2)^0.5)*Val!$D$5*(E124-E123)</f>
        <v>0.3035675295708795</v>
      </c>
    </row>
    <row r="125" spans="2:23" ht="13.5">
      <c r="B125" s="32">
        <v>120</v>
      </c>
      <c r="C125" s="32">
        <f>B125-Data!$D$10</f>
        <v>30</v>
      </c>
      <c r="D125" s="30">
        <f t="shared" si="36"/>
        <v>2.0943951023931953</v>
      </c>
      <c r="E125" s="30">
        <f t="shared" si="37"/>
        <v>0.5235987755982988</v>
      </c>
      <c r="F125" s="26">
        <f>Val!$D$11*(1-COS(D125))+Val!$D$12*(1-COS(E125))</f>
        <v>0.000816987191948461</v>
      </c>
      <c r="G125" s="26">
        <f>Val!$D$11*((1-COS(Calc!D125))+1/Val!$D$18*(1-(1-(Val!$D$18*SIN(Calc!D125))^2)^0.5))+Val!$D$12*((1-COS(Calc!E125))+1/Val!$D$19*(1-(1-(Val!$D$19*SIN(Calc!E125))^2)^0.5))</f>
        <v>0.0008715843600658747</v>
      </c>
      <c r="H125" s="26">
        <f t="shared" si="38"/>
        <v>-5.459716811741374E-05</v>
      </c>
      <c r="I125" s="22">
        <f>Val!$D$11*(1-COS(D125))+Val!$D$14+Val!$D$13+Val!$D$12*((1-COS(Calc!E125)))+Val!$D$15</f>
        <v>0.0015169871919484608</v>
      </c>
      <c r="J125" s="22">
        <f>Val!$D$11*((1-COS(Calc!$D125))+1/Val!$D$18*(1-(1-(Val!$D$18*SIN(Calc!$D125))^2)^0.5))+Val!$D$14+Val!$D$13+Val!$D$12*((1-COS(Calc!$E125))+1/Val!$D$19*(1-(1-(Val!$D$19*SIN(Calc!$E125))^2)^0.5))+Val!$D$15</f>
        <v>0.0015715843600658747</v>
      </c>
      <c r="K125" s="44">
        <f t="shared" si="39"/>
        <v>-5.459716811741385E-05</v>
      </c>
      <c r="L125" s="50">
        <f>Val!$D$42*Val!$D$22/Val!$D$37/(1-Val!$D$39*COS(D125-Val!$D$40))</f>
        <v>130601.50135016533</v>
      </c>
      <c r="M125" s="50">
        <f>Val!$D$42*Val!$D$22/(Val!$D$11*((1-COS(Calc!D125))+1/Val!$D$18*(1-(1-(Val!$D$18*SIN(Calc!D125))^2)^0.5))/Val!$D$25+Val!$D$14/Val!$D$25+Val!$D$13/Val!$D$27+Val!$D$12*((1-COS(Calc!E125))+1/Val!$D$19*(1-(1-(Val!$D$19*SIN(Calc!E125))^2)^0.5))/Val!$D$26+Val!$D$15/Val!$D$26)</f>
        <v>125610.36415187642</v>
      </c>
      <c r="N125" s="16">
        <f t="shared" si="28"/>
        <v>1.5526728087790511</v>
      </c>
      <c r="O125" s="16">
        <f t="shared" si="29"/>
        <v>1.4918519953789713</v>
      </c>
      <c r="P125" s="16">
        <f t="shared" si="30"/>
        <v>-1.1948087443655955E-05</v>
      </c>
      <c r="Q125" s="16">
        <f t="shared" si="31"/>
        <v>-1.1938323739674032E-05</v>
      </c>
      <c r="R125" s="13">
        <f t="shared" si="24"/>
        <v>0.6162553185348083</v>
      </c>
      <c r="S125" s="13">
        <f t="shared" si="25"/>
        <v>0.6384346720638778</v>
      </c>
      <c r="T125" s="13">
        <f t="shared" si="26"/>
        <v>0.7706001873005264</v>
      </c>
      <c r="U125" s="13">
        <f t="shared" si="27"/>
        <v>0.7411505162011736</v>
      </c>
      <c r="W125" s="387">
        <f>1*(M125-Val!$D$28)*PI()/4*Val!$D$2^2*(SIN(D125)+Val!$D$18/2*SIN(2*D125)/(1-Val!$D$18^2*SIN(D125)^2)^0.5)*Val!$D$4*(D125-D124)+1*(M125-Val!$D$28)*PI()/4*Val!$D$3^2*(SIN(E125)+Val!$D$19/2*SIN(2*E125)/(1-Val!$D$19^2*SIN(E125)^2)^0.5)*Val!$D$5*(E125-E124)</f>
        <v>0.2895570078481865</v>
      </c>
    </row>
    <row r="126" spans="2:23" ht="13.5">
      <c r="B126" s="32">
        <v>121</v>
      </c>
      <c r="C126" s="32">
        <f>B126-Data!$D$10</f>
        <v>31</v>
      </c>
      <c r="D126" s="30">
        <f t="shared" si="36"/>
        <v>2.111848394913139</v>
      </c>
      <c r="E126" s="30">
        <f t="shared" si="37"/>
        <v>0.5410520681182421</v>
      </c>
      <c r="F126" s="26">
        <f>Val!$D$11*(1-COS(D126))+Val!$D$12*(1-COS(E126))</f>
        <v>0.0008289352793921169</v>
      </c>
      <c r="G126" s="26">
        <f>Val!$D$11*((1-COS(Calc!D126))+1/Val!$D$18*(1-(1-(Val!$D$18*SIN(Calc!D126))^2)^0.5))+Val!$D$12*((1-COS(Calc!E126))+1/Val!$D$19*(1-(1-(Val!$D$19*SIN(Calc!E126))^2)^0.5))</f>
        <v>0.0008835226838055487</v>
      </c>
      <c r="H126" s="26">
        <f t="shared" si="38"/>
        <v>-5.458740441343182E-05</v>
      </c>
      <c r="I126" s="22">
        <f>Val!$D$11*(1-COS(D126))+Val!$D$14+Val!$D$13+Val!$D$12*((1-COS(Calc!E126)))+Val!$D$15</f>
        <v>0.0015289352793921168</v>
      </c>
      <c r="J126" s="22">
        <f>Val!$D$11*((1-COS(Calc!$D126))+1/Val!$D$18*(1-(1-(Val!$D$18*SIN(Calc!$D126))^2)^0.5))+Val!$D$14+Val!$D$13+Val!$D$12*((1-COS(Calc!$E126))+1/Val!$D$19*(1-(1-(Val!$D$19*SIN(Calc!$E126))^2)^0.5))+Val!$D$15</f>
        <v>0.0015835226838055488</v>
      </c>
      <c r="K126" s="44">
        <f t="shared" si="39"/>
        <v>-5.4587404413432034E-05</v>
      </c>
      <c r="L126" s="50">
        <f>Val!$D$42*Val!$D$22/Val!$D$37/(1-Val!$D$39*COS(D126-Val!$D$40))</f>
        <v>129301.65320926497</v>
      </c>
      <c r="M126" s="50">
        <f>Val!$D$42*Val!$D$22/(Val!$D$11*((1-COS(Calc!D126))+1/Val!$D$18*(1-(1-(Val!$D$18*SIN(Calc!D126))^2)^0.5))/Val!$D$25+Val!$D$14/Val!$D$25+Val!$D$13/Val!$D$27+Val!$D$12*((1-COS(Calc!E126))+1/Val!$D$19*(1-(1-(Val!$D$19*SIN(Calc!E126))^2)^0.5))/Val!$D$26+Val!$D$15/Val!$D$26)</f>
        <v>124316.1796259843</v>
      </c>
      <c r="N126" s="16">
        <f t="shared" si="28"/>
        <v>1.543888493376041</v>
      </c>
      <c r="O126" s="16">
        <f t="shared" si="29"/>
        <v>1.482946569088521</v>
      </c>
      <c r="P126" s="16">
        <f t="shared" si="30"/>
        <v>-1.2000195375112973E-05</v>
      </c>
      <c r="Q126" s="16">
        <f t="shared" si="31"/>
        <v>-1.1990881139471092E-05</v>
      </c>
      <c r="R126" s="13">
        <f t="shared" si="24"/>
        <v>0.6211090657994867</v>
      </c>
      <c r="S126" s="13">
        <f t="shared" si="25"/>
        <v>0.6432844529572253</v>
      </c>
      <c r="T126" s="13">
        <f t="shared" si="26"/>
        <v>0.7629305723995887</v>
      </c>
      <c r="U126" s="13">
        <f t="shared" si="27"/>
        <v>0.7335143188547129</v>
      </c>
      <c r="W126" s="387">
        <f>1*(M126-Val!$D$28)*PI()/4*Val!$D$2^2*(SIN(D126)+Val!$D$18/2*SIN(2*D126)/(1-Val!$D$18^2*SIN(D126)^2)^0.5)*Val!$D$4*(D126-D125)+1*(M126-Val!$D$28)*PI()/4*Val!$D$3^2*(SIN(E126)+Val!$D$19/2*SIN(2*E126)/(1-Val!$D$19^2*SIN(E126)^2)^0.5)*Val!$D$5*(E126-E125)</f>
        <v>0.27539325305098306</v>
      </c>
    </row>
    <row r="127" spans="2:23" ht="13.5">
      <c r="B127" s="32">
        <v>122</v>
      </c>
      <c r="C127" s="32">
        <f>B127-Data!$D$10</f>
        <v>32</v>
      </c>
      <c r="D127" s="30">
        <f t="shared" si="36"/>
        <v>2.129301687433082</v>
      </c>
      <c r="E127" s="30">
        <f t="shared" si="37"/>
        <v>0.5585053606381855</v>
      </c>
      <c r="F127" s="26">
        <f>Val!$D$11*(1-COS(D127))+Val!$D$12*(1-COS(E127))</f>
        <v>0.0008409354747672299</v>
      </c>
      <c r="G127" s="26">
        <f>Val!$D$11*((1-COS(Calc!D127))+1/Val!$D$18*(1-(1-(Val!$D$18*SIN(Calc!D127))^2)^0.5))+Val!$D$12*((1-COS(Calc!E127))+1/Val!$D$19*(1-(1-(Val!$D$19*SIN(Calc!E127))^2)^0.5))</f>
        <v>0.0008955135649450198</v>
      </c>
      <c r="H127" s="26">
        <f t="shared" si="38"/>
        <v>-5.4578090177789937E-05</v>
      </c>
      <c r="I127" s="22">
        <f>Val!$D$11*(1-COS(D127))+Val!$D$14+Val!$D$13+Val!$D$12*((1-COS(Calc!E127)))+Val!$D$15</f>
        <v>0.0015409354747672299</v>
      </c>
      <c r="J127" s="22">
        <f>Val!$D$11*((1-COS(Calc!$D127))+1/Val!$D$18*(1-(1-(Val!$D$18*SIN(Calc!$D127))^2)^0.5))+Val!$D$14+Val!$D$13+Val!$D$12*((1-COS(Calc!$E127))+1/Val!$D$19*(1-(1-(Val!$D$19*SIN(Calc!$E127))^2)^0.5))+Val!$D$15</f>
        <v>0.0015955135649450198</v>
      </c>
      <c r="K127" s="44">
        <f t="shared" si="39"/>
        <v>-5.4578090177789937E-05</v>
      </c>
      <c r="L127" s="50">
        <f>Val!$D$42*Val!$D$22/Val!$D$37/(1-Val!$D$39*COS(D127-Val!$D$40))</f>
        <v>128008.90634676936</v>
      </c>
      <c r="M127" s="50">
        <f>Val!$D$42*Val!$D$22/(Val!$D$11*((1-COS(Calc!D127))+1/Val!$D$18*(1-(1-(Val!$D$18*SIN(Calc!D127))^2)^0.5))/Val!$D$25+Val!$D$14/Val!$D$25+Val!$D$13/Val!$D$27+Val!$D$12*((1-COS(Calc!E127))+1/Val!$D$19*(1-(1-(Val!$D$19*SIN(Calc!E127))^2)^0.5))/Val!$D$26+Val!$D$15/Val!$D$26)</f>
        <v>123029.54114961938</v>
      </c>
      <c r="N127" s="16">
        <f t="shared" si="28"/>
        <v>1.5345934758742228</v>
      </c>
      <c r="O127" s="16">
        <f t="shared" si="29"/>
        <v>1.4735594345012422</v>
      </c>
      <c r="P127" s="16">
        <f t="shared" si="30"/>
        <v>-1.2048647930810639E-05</v>
      </c>
      <c r="Q127" s="16">
        <f t="shared" si="31"/>
        <v>-1.2039828527081508E-05</v>
      </c>
      <c r="R127" s="13">
        <f t="shared" si="24"/>
        <v>0.6259839811993139</v>
      </c>
      <c r="S127" s="13">
        <f t="shared" si="25"/>
        <v>0.6481555845760931</v>
      </c>
      <c r="T127" s="13">
        <f t="shared" si="26"/>
        <v>0.7553028578322016</v>
      </c>
      <c r="U127" s="13">
        <f t="shared" si="27"/>
        <v>0.7259226461662303</v>
      </c>
      <c r="W127" s="387">
        <f>1*(M127-Val!$D$28)*PI()/4*Val!$D$2^2*(SIN(D127)+Val!$D$18/2*SIN(2*D127)/(1-Val!$D$18^2*SIN(D127)^2)^0.5)*Val!$D$4*(D127-D126)+1*(M127-Val!$D$28)*PI()/4*Val!$D$3^2*(SIN(E127)+Val!$D$19/2*SIN(2*E127)/(1-Val!$D$19^2*SIN(E127)^2)^0.5)*Val!$D$5*(E127-E126)</f>
        <v>0.261101253006163</v>
      </c>
    </row>
    <row r="128" spans="2:23" ht="13.5">
      <c r="B128" s="32">
        <v>123</v>
      </c>
      <c r="C128" s="32">
        <f>B128-Data!$D$10</f>
        <v>33</v>
      </c>
      <c r="D128" s="30">
        <f t="shared" si="36"/>
        <v>2.1467549799530254</v>
      </c>
      <c r="E128" s="30">
        <f t="shared" si="37"/>
        <v>0.5759586531581288</v>
      </c>
      <c r="F128" s="26">
        <f>Val!$D$11*(1-COS(D128))+Val!$D$12*(1-COS(E128))</f>
        <v>0.0008529841226980405</v>
      </c>
      <c r="G128" s="26">
        <f>Val!$D$11*((1-COS(Calc!D128))+1/Val!$D$18*(1-(1-(Val!$D$18*SIN(Calc!D128))^2)^0.5))+Val!$D$12*((1-COS(Calc!E128))+1/Val!$D$19*(1-(1-(Val!$D$19*SIN(Calc!E128))^2)^0.5))</f>
        <v>0.0009075533934721013</v>
      </c>
      <c r="H128" s="26">
        <f t="shared" si="38"/>
        <v>-5.4569270774060805E-05</v>
      </c>
      <c r="I128" s="22">
        <f>Val!$D$11*(1-COS(D128))+Val!$D$14+Val!$D$13+Val!$D$12*((1-COS(Calc!E128)))+Val!$D$15</f>
        <v>0.0015529841226980406</v>
      </c>
      <c r="J128" s="22">
        <f>Val!$D$11*((1-COS(Calc!$D128))+1/Val!$D$18*(1-(1-(Val!$D$18*SIN(Calc!$D128))^2)^0.5))+Val!$D$14+Val!$D$13+Val!$D$12*((1-COS(Calc!$E128))+1/Val!$D$19*(1-(1-(Val!$D$19*SIN(Calc!$E128))^2)^0.5))+Val!$D$15</f>
        <v>0.001607553393472101</v>
      </c>
      <c r="K128" s="44">
        <f t="shared" si="39"/>
        <v>-5.456927077406048E-05</v>
      </c>
      <c r="L128" s="50">
        <f>Val!$D$42*Val!$D$22/Val!$D$37/(1-Val!$D$39*COS(D128-Val!$D$40))</f>
        <v>126723.98728355533</v>
      </c>
      <c r="M128" s="50">
        <f>Val!$D$42*Val!$D$22/(Val!$D$11*((1-COS(Calc!D128))+1/Val!$D$18*(1-(1-(Val!$D$18*SIN(Calc!D128))^2)^0.5))/Val!$D$25+Val!$D$14/Val!$D$25+Val!$D$13/Val!$D$27+Val!$D$12*((1-COS(Calc!E128))+1/Val!$D$19*(1-(1-(Val!$D$19*SIN(Calc!E128))^2)^0.5))/Val!$D$26+Val!$D$15/Val!$D$26)</f>
        <v>121751.25970427187</v>
      </c>
      <c r="N128" s="16">
        <f t="shared" si="28"/>
        <v>1.5248096262879398</v>
      </c>
      <c r="O128" s="16">
        <f t="shared" si="29"/>
        <v>1.4637130520968429</v>
      </c>
      <c r="P128" s="16">
        <f t="shared" si="30"/>
        <v>-1.2093430351630655E-05</v>
      </c>
      <c r="Q128" s="16">
        <f t="shared" si="31"/>
        <v>-1.208514873210346E-05</v>
      </c>
      <c r="R128" s="13">
        <f t="shared" si="24"/>
        <v>0.630878579787835</v>
      </c>
      <c r="S128" s="13">
        <f t="shared" si="25"/>
        <v>0.653046600402358</v>
      </c>
      <c r="T128" s="13">
        <f t="shared" si="26"/>
        <v>0.7477213303570773</v>
      </c>
      <c r="U128" s="13">
        <f t="shared" si="27"/>
        <v>0.718380283245252</v>
      </c>
      <c r="W128" s="387">
        <f>1*(M128-Val!$D$28)*PI()/4*Val!$D$2^2*(SIN(D128)+Val!$D$18/2*SIN(2*D128)/(1-Val!$D$18^2*SIN(D128)^2)^0.5)*Val!$D$4*(D128-D127)+1*(M128-Val!$D$28)*PI()/4*Val!$D$3^2*(SIN(E128)+Val!$D$19/2*SIN(2*E128)/(1-Val!$D$19^2*SIN(E128)^2)^0.5)*Val!$D$5*(E128-E127)</f>
        <v>0.2467054793916786</v>
      </c>
    </row>
    <row r="129" spans="2:23" ht="13.5">
      <c r="B129" s="32">
        <v>124</v>
      </c>
      <c r="C129" s="32">
        <f>B129-Data!$D$10</f>
        <v>34</v>
      </c>
      <c r="D129" s="30">
        <f t="shared" si="36"/>
        <v>2.1642082724729685</v>
      </c>
      <c r="E129" s="30">
        <f t="shared" si="37"/>
        <v>0.5934119456780721</v>
      </c>
      <c r="F129" s="26">
        <f>Val!$D$11*(1-COS(D129))+Val!$D$12*(1-COS(E129))</f>
        <v>0.0008650775530496712</v>
      </c>
      <c r="G129" s="26">
        <f>Val!$D$11*((1-COS(Calc!D129))+1/Val!$D$18*(1-(1-(Val!$D$18*SIN(Calc!D129))^2)^0.5))+Val!$D$12*((1-COS(Calc!E129))+1/Val!$D$19*(1-(1-(Val!$D$19*SIN(Calc!E129))^2)^0.5))</f>
        <v>0.0009196385422042048</v>
      </c>
      <c r="H129" s="26">
        <f t="shared" si="38"/>
        <v>-5.456098915453361E-05</v>
      </c>
      <c r="I129" s="22">
        <f>Val!$D$11*(1-COS(D129))+Val!$D$14+Val!$D$13+Val!$D$12*((1-COS(Calc!E129)))+Val!$D$15</f>
        <v>0.0015650775530496712</v>
      </c>
      <c r="J129" s="22">
        <f>Val!$D$11*((1-COS(Calc!$D129))+1/Val!$D$18*(1-(1-(Val!$D$18*SIN(Calc!$D129))^2)^0.5))+Val!$D$14+Val!$D$13+Val!$D$12*((1-COS(Calc!$E129))+1/Val!$D$19*(1-(1-(Val!$D$19*SIN(Calc!$E129))^2)^0.5))+Val!$D$15</f>
        <v>0.0016196385422042048</v>
      </c>
      <c r="K129" s="44">
        <f t="shared" si="39"/>
        <v>-5.456098915453361E-05</v>
      </c>
      <c r="L129" s="50">
        <f>Val!$D$42*Val!$D$22/Val!$D$37/(1-Val!$D$39*COS(D129-Val!$D$40))</f>
        <v>125447.57726882184</v>
      </c>
      <c r="M129" s="50">
        <f>Val!$D$42*Val!$D$22/(Val!$D$11*((1-COS(Calc!D129))+1/Val!$D$18*(1-(1-(Val!$D$18*SIN(Calc!D129))^2)^0.5))/Val!$D$25+Val!$D$14/Val!$D$25+Val!$D$13/Val!$D$27+Val!$D$12*((1-COS(Calc!E129))+1/Val!$D$19*(1-(1-(Val!$D$19*SIN(Calc!E129))^2)^0.5))/Val!$D$26+Val!$D$15/Val!$D$26)</f>
        <v>120482.0937353184</v>
      </c>
      <c r="N129" s="16">
        <f t="shared" si="28"/>
        <v>1.5145584390787548</v>
      </c>
      <c r="O129" s="16">
        <f t="shared" si="29"/>
        <v>1.4534294078671954</v>
      </c>
      <c r="P129" s="16">
        <f t="shared" si="30"/>
        <v>-1.2134528996413855E-05</v>
      </c>
      <c r="Q129" s="16">
        <f t="shared" si="31"/>
        <v>-1.2126825493127412E-05</v>
      </c>
      <c r="R129" s="13">
        <f t="shared" si="24"/>
        <v>0.6357913706229047</v>
      </c>
      <c r="S129" s="13">
        <f t="shared" si="25"/>
        <v>0.6579560269426554</v>
      </c>
      <c r="T129" s="13">
        <f t="shared" si="26"/>
        <v>0.7401900096122364</v>
      </c>
      <c r="U129" s="13">
        <f t="shared" si="27"/>
        <v>0.7108917052175864</v>
      </c>
      <c r="W129" s="387">
        <f>1*(M129-Val!$D$28)*PI()/4*Val!$D$2^2*(SIN(D129)+Val!$D$18/2*SIN(2*D129)/(1-Val!$D$18^2*SIN(D129)^2)^0.5)*Val!$D$4*(D129-D128)+1*(M129-Val!$D$28)*PI()/4*Val!$D$3^2*(SIN(E129)+Val!$D$19/2*SIN(2*E129)/(1-Val!$D$19^2*SIN(E129)^2)^0.5)*Val!$D$5*(E129-E128)</f>
        <v>0.2322298528115963</v>
      </c>
    </row>
    <row r="130" spans="2:23" ht="13.5">
      <c r="B130" s="32">
        <v>125</v>
      </c>
      <c r="C130" s="32">
        <f>B130-Data!$D$10</f>
        <v>35</v>
      </c>
      <c r="D130" s="30">
        <f t="shared" si="36"/>
        <v>2.181661564992912</v>
      </c>
      <c r="E130" s="30">
        <f t="shared" si="37"/>
        <v>0.6108652381980153</v>
      </c>
      <c r="F130" s="26">
        <f>Val!$D$11*(1-COS(D130))+Val!$D$12*(1-COS(E130))</f>
        <v>0.000877212082046085</v>
      </c>
      <c r="G130" s="26">
        <f>Val!$D$11*((1-COS(Calc!D130))+1/Val!$D$18*(1-(1-(Val!$D$18*SIN(Calc!D130))^2)^0.5))+Val!$D$12*((1-COS(Calc!E130))+1/Val!$D$19*(1-(1-(Val!$D$19*SIN(Calc!E130))^2)^0.5))</f>
        <v>0.0009317653676973322</v>
      </c>
      <c r="H130" s="26">
        <f t="shared" si="38"/>
        <v>-5.455328565124717E-05</v>
      </c>
      <c r="I130" s="22">
        <f>Val!$D$11*(1-COS(D130))+Val!$D$14+Val!$D$13+Val!$D$12*((1-COS(Calc!E130)))+Val!$D$15</f>
        <v>0.001577212082046085</v>
      </c>
      <c r="J130" s="22">
        <f>Val!$D$11*((1-COS(Calc!$D130))+1/Val!$D$18*(1-(1-(Val!$D$18*SIN(Calc!$D130))^2)^0.5))+Val!$D$14+Val!$D$13+Val!$D$12*((1-COS(Calc!$E130))+1/Val!$D$19*(1-(1-(Val!$D$19*SIN(Calc!$E130))^2)^0.5))+Val!$D$15</f>
        <v>0.001631765367697332</v>
      </c>
      <c r="K130" s="44">
        <f t="shared" si="39"/>
        <v>-5.455328565124717E-05</v>
      </c>
      <c r="L130" s="50">
        <f>Val!$D$42*Val!$D$22/Val!$D$37/(1-Val!$D$39*COS(D130-Val!$D$40))</f>
        <v>124180.31344310756</v>
      </c>
      <c r="M130" s="50">
        <f>Val!$D$42*Val!$D$22/(Val!$D$11*((1-COS(Calc!D130))+1/Val!$D$18*(1-(1-(Val!$D$18*SIN(Calc!D130))^2)^0.5))/Val!$D$25+Val!$D$14/Val!$D$25+Val!$D$13/Val!$D$27+Val!$D$12*((1-COS(Calc!E130))+1/Val!$D$19*(1-(1-(Val!$D$19*SIN(Calc!E130))^2)^0.5))/Val!$D$26+Val!$D$15/Val!$D$26)</f>
        <v>119222.75048642862</v>
      </c>
      <c r="N130" s="16">
        <f t="shared" si="28"/>
        <v>1.5038610056919715</v>
      </c>
      <c r="O130" s="16">
        <f t="shared" si="29"/>
        <v>1.4427299864902121</v>
      </c>
      <c r="P130" s="16">
        <f t="shared" si="30"/>
        <v>-1.217193134611487E-05</v>
      </c>
      <c r="Q130" s="16">
        <f t="shared" si="31"/>
        <v>-1.2164843474657145E-05</v>
      </c>
      <c r="R130" s="13">
        <f t="shared" si="24"/>
        <v>0.6407208572208436</v>
      </c>
      <c r="S130" s="13">
        <f t="shared" si="25"/>
        <v>0.6628823840976452</v>
      </c>
      <c r="T130" s="13">
        <f t="shared" si="26"/>
        <v>0.732712654977267</v>
      </c>
      <c r="U130" s="13">
        <f t="shared" si="27"/>
        <v>0.7034610850988469</v>
      </c>
      <c r="W130" s="387">
        <f>1*(M130-Val!$D$28)*PI()/4*Val!$D$2^2*(SIN(D130)+Val!$D$18/2*SIN(2*D130)/(1-Val!$D$18^2*SIN(D130)^2)^0.5)*Val!$D$4*(D130-D129)+1*(M130-Val!$D$28)*PI()/4*Val!$D$3^2*(SIN(E130)+Val!$D$19/2*SIN(2*E130)/(1-Val!$D$19^2*SIN(E130)^2)^0.5)*Val!$D$5*(E130-E129)</f>
        <v>0.21769771220064887</v>
      </c>
    </row>
    <row r="131" spans="2:23" ht="13.5">
      <c r="B131" s="32">
        <v>126</v>
      </c>
      <c r="C131" s="32">
        <f>B131-Data!$D$10</f>
        <v>36</v>
      </c>
      <c r="D131" s="30">
        <f t="shared" si="36"/>
        <v>2.199114857512855</v>
      </c>
      <c r="E131" s="30">
        <f t="shared" si="37"/>
        <v>0.6283185307179586</v>
      </c>
      <c r="F131" s="26">
        <f>Val!$D$11*(1-COS(D131))+Val!$D$12*(1-COS(E131))</f>
        <v>0.0008893840133921999</v>
      </c>
      <c r="G131" s="26">
        <f>Val!$D$11*((1-COS(Calc!D131))+1/Val!$D$18*(1-(1-(Val!$D$18*SIN(Calc!D131))^2)^0.5))+Val!$D$12*((1-COS(Calc!E131))+1/Val!$D$19*(1-(1-(Val!$D$19*SIN(Calc!E131))^2)^0.5))</f>
        <v>0.0009439302111719893</v>
      </c>
      <c r="H131" s="26">
        <f t="shared" si="38"/>
        <v>-5.454619777978944E-05</v>
      </c>
      <c r="I131" s="22">
        <f>Val!$D$11*(1-COS(D131))+Val!$D$14+Val!$D$13+Val!$D$12*((1-COS(Calc!E131)))+Val!$D$15</f>
        <v>0.0015893840133921998</v>
      </c>
      <c r="J131" s="22">
        <f>Val!$D$11*((1-COS(Calc!$D131))+1/Val!$D$18*(1-(1-(Val!$D$18*SIN(Calc!$D131))^2)^0.5))+Val!$D$14+Val!$D$13+Val!$D$12*((1-COS(Calc!$E131))+1/Val!$D$19*(1-(1-(Val!$D$19*SIN(Calc!$E131))^2)^0.5))+Val!$D$15</f>
        <v>0.0016439302111719892</v>
      </c>
      <c r="K131" s="44">
        <f t="shared" si="39"/>
        <v>-5.454619777978944E-05</v>
      </c>
      <c r="L131" s="50">
        <f>Val!$D$42*Val!$D$22/Val!$D$37/(1-Val!$D$39*COS(D131-Val!$D$40))</f>
        <v>122922.79007086113</v>
      </c>
      <c r="M131" s="50">
        <f>Val!$D$42*Val!$D$22/(Val!$D$11*((1-COS(Calc!D131))+1/Val!$D$18*(1-(1-(Val!$D$18*SIN(Calc!D131))^2)^0.5))/Val!$D$25+Val!$D$14/Val!$D$25+Val!$D$13/Val!$D$27+Val!$D$12*((1-COS(Calc!E131))+1/Val!$D$19*(1-(1-(Val!$D$19*SIN(Calc!E131))^2)^0.5))/Val!$D$26+Val!$D$15/Val!$D$26)</f>
        <v>117973.8874309983</v>
      </c>
      <c r="N131" s="16">
        <f t="shared" si="28"/>
        <v>1.4927379904896583</v>
      </c>
      <c r="O131" s="16">
        <f t="shared" si="29"/>
        <v>1.4316357485589748</v>
      </c>
      <c r="P131" s="16">
        <f t="shared" si="30"/>
        <v>-1.220562600761602E-05</v>
      </c>
      <c r="Q131" s="16">
        <f t="shared" si="31"/>
        <v>-1.2199188284648353E-05</v>
      </c>
      <c r="R131" s="13">
        <f t="shared" si="24"/>
        <v>0.6456655380122808</v>
      </c>
      <c r="S131" s="13">
        <f t="shared" si="25"/>
        <v>0.6678241855381518</v>
      </c>
      <c r="T131" s="13">
        <f t="shared" si="26"/>
        <v>0.7252927728459758</v>
      </c>
      <c r="U131" s="13">
        <f t="shared" si="27"/>
        <v>0.6960923022404705</v>
      </c>
      <c r="W131" s="387">
        <f>1*(M131-Val!$D$28)*PI()/4*Val!$D$2^2*(SIN(D131)+Val!$D$18/2*SIN(2*D131)/(1-Val!$D$18^2*SIN(D131)^2)^0.5)*Val!$D$4*(D131-D130)+1*(M131-Val!$D$28)*PI()/4*Val!$D$3^2*(SIN(E131)+Val!$D$19/2*SIN(2*E131)/(1-Val!$D$19^2*SIN(E131)^2)^0.5)*Val!$D$5*(E131-E130)</f>
        <v>0.20313178833585277</v>
      </c>
    </row>
    <row r="132" spans="2:23" ht="13.5">
      <c r="B132" s="32">
        <v>127</v>
      </c>
      <c r="C132" s="32">
        <f>B132-Data!$D$10</f>
        <v>37</v>
      </c>
      <c r="D132" s="30">
        <f t="shared" si="36"/>
        <v>2.2165681500327987</v>
      </c>
      <c r="E132" s="30">
        <f t="shared" si="37"/>
        <v>0.6457718232379019</v>
      </c>
      <c r="F132" s="26">
        <f>Val!$D$11*(1-COS(D132))+Val!$D$12*(1-COS(E132))</f>
        <v>0.0009015896393998159</v>
      </c>
      <c r="G132" s="26">
        <f>Val!$D$11*((1-COS(Calc!D132))+1/Val!$D$18*(1-(1-(Val!$D$18*SIN(Calc!D132))^2)^0.5))+Val!$D$12*((1-COS(Calc!E132))+1/Val!$D$19*(1-(1-(Val!$D$19*SIN(Calc!E132))^2)^0.5))</f>
        <v>0.0009561293994566377</v>
      </c>
      <c r="H132" s="26">
        <f t="shared" si="38"/>
        <v>-5.4539760056821775E-05</v>
      </c>
      <c r="I132" s="22">
        <f>Val!$D$11*(1-COS(D132))+Val!$D$14+Val!$D$13+Val!$D$12*((1-COS(Calc!E132)))+Val!$D$15</f>
        <v>0.0016015896393998157</v>
      </c>
      <c r="J132" s="22">
        <f>Val!$D$11*((1-COS(Calc!$D132))+1/Val!$D$18*(1-(1-(Val!$D$18*SIN(Calc!$D132))^2)^0.5))+Val!$D$14+Val!$D$13+Val!$D$12*((1-COS(Calc!$E132))+1/Val!$D$19*(1-(1-(Val!$D$19*SIN(Calc!$E132))^2)^0.5))+Val!$D$15</f>
        <v>0.0016561293994566376</v>
      </c>
      <c r="K132" s="44">
        <f t="shared" si="39"/>
        <v>-5.4539760056821884E-05</v>
      </c>
      <c r="L132" s="50">
        <f>Val!$D$42*Val!$D$22/Val!$D$37/(1-Val!$D$39*COS(D132-Val!$D$40))</f>
        <v>121675.5598307725</v>
      </c>
      <c r="M132" s="50">
        <f>Val!$D$42*Val!$D$22/(Val!$D$11*((1-COS(Calc!D132))+1/Val!$D$18*(1-(1-(Val!$D$18*SIN(Calc!D132))^2)^0.5))/Val!$D$25+Val!$D$14/Val!$D$25+Val!$D$13/Val!$D$27+Val!$D$12*((1-COS(Calc!E132))+1/Val!$D$19*(1-(1-(Val!$D$19*SIN(Calc!E132))^2)^0.5))/Val!$D$26+Val!$D$15/Val!$D$26)</f>
        <v>116736.11378450344</v>
      </c>
      <c r="N132" s="16">
        <f t="shared" si="28"/>
        <v>1.4812096099073253</v>
      </c>
      <c r="O132" s="16">
        <f t="shared" si="29"/>
        <v>1.420167111627267</v>
      </c>
      <c r="P132" s="16">
        <f t="shared" si="30"/>
        <v>-1.2235602717196011E-05</v>
      </c>
      <c r="Q132" s="16">
        <f t="shared" si="31"/>
        <v>-1.2229846492575682E-05</v>
      </c>
      <c r="R132" s="13">
        <f t="shared" si="24"/>
        <v>0.6506239067995472</v>
      </c>
      <c r="S132" s="13">
        <f t="shared" si="25"/>
        <v>0.672779939088428</v>
      </c>
      <c r="T132" s="13">
        <f t="shared" si="26"/>
        <v>0.7179336242398487</v>
      </c>
      <c r="U132" s="13">
        <f t="shared" si="27"/>
        <v>0.6887889512532012</v>
      </c>
      <c r="W132" s="387">
        <f>1*(M132-Val!$D$28)*PI()/4*Val!$D$2^2*(SIN(D132)+Val!$D$18/2*SIN(2*D132)/(1-Val!$D$18^2*SIN(D132)^2)^0.5)*Val!$D$4*(D132-D131)+1*(M132-Val!$D$28)*PI()/4*Val!$D$3^2*(SIN(E132)+Val!$D$19/2*SIN(2*E132)/(1-Val!$D$19^2*SIN(E132)^2)^0.5)*Val!$D$5*(E132-E131)</f>
        <v>0.18855418122623457</v>
      </c>
    </row>
    <row r="133" spans="2:23" ht="13.5">
      <c r="B133" s="32">
        <v>128</v>
      </c>
      <c r="C133" s="32">
        <f>B133-Data!$D$10</f>
        <v>38</v>
      </c>
      <c r="D133" s="30">
        <f t="shared" si="36"/>
        <v>2.234021442552742</v>
      </c>
      <c r="E133" s="30">
        <f t="shared" si="37"/>
        <v>0.6632251157578453</v>
      </c>
      <c r="F133" s="26">
        <f>Val!$D$11*(1-COS(D133))+Val!$D$12*(1-COS(E133))</f>
        <v>0.0009138252421170119</v>
      </c>
      <c r="G133" s="26">
        <f>Val!$D$11*((1-COS(Calc!D133))+1/Val!$D$18*(1-(1-(Val!$D$18*SIN(Calc!D133))^2)^0.5))+Val!$D$12*((1-COS(Calc!E133))+1/Val!$D$19*(1-(1-(Val!$D$19*SIN(Calc!E133))^2)^0.5))</f>
        <v>0.0009683592459492134</v>
      </c>
      <c r="H133" s="26">
        <f t="shared" si="38"/>
        <v>-5.4534003832201446E-05</v>
      </c>
      <c r="I133" s="22">
        <f>Val!$D$11*(1-COS(D133))+Val!$D$14+Val!$D$13+Val!$D$12*((1-COS(Calc!E133)))+Val!$D$15</f>
        <v>0.001613825242117012</v>
      </c>
      <c r="J133" s="22">
        <f>Val!$D$11*((1-COS(Calc!$D133))+1/Val!$D$18*(1-(1-(Val!$D$18*SIN(Calc!$D133))^2)^0.5))+Val!$D$14+Val!$D$13+Val!$D$12*((1-COS(Calc!$E133))+1/Val!$D$19*(1-(1-(Val!$D$19*SIN(Calc!$E133))^2)^0.5))+Val!$D$15</f>
        <v>0.0016683592459492134</v>
      </c>
      <c r="K133" s="44">
        <f t="shared" si="39"/>
        <v>-5.4534003832201446E-05</v>
      </c>
      <c r="L133" s="50">
        <f>Val!$D$42*Val!$D$22/Val!$D$37/(1-Val!$D$39*COS(D133-Val!$D$40))</f>
        <v>120439.1351528421</v>
      </c>
      <c r="M133" s="50">
        <f>Val!$D$42*Val!$D$22/(Val!$D$11*((1-COS(Calc!D133))+1/Val!$D$18*(1-(1-(Val!$D$18*SIN(Calc!D133))^2)^0.5))/Val!$D$25+Val!$D$14/Val!$D$25+Val!$D$13/Val!$D$27+Val!$D$12*((1-COS(Calc!E133))+1/Val!$D$19*(1-(1-(Val!$D$19*SIN(Calc!E133))^2)^0.5))/Val!$D$26+Val!$D$15/Val!$D$26)</f>
        <v>115509.99208271064</v>
      </c>
      <c r="N133" s="16">
        <f t="shared" si="28"/>
        <v>1.4692956146585883</v>
      </c>
      <c r="O133" s="16">
        <f t="shared" si="29"/>
        <v>1.4083439348322515</v>
      </c>
      <c r="P133" s="16">
        <f t="shared" si="30"/>
        <v>-1.2261852343659909E-05</v>
      </c>
      <c r="Q133" s="16">
        <f t="shared" si="31"/>
        <v>-1.2256805647983316E-05</v>
      </c>
      <c r="R133" s="13">
        <f aca="true" t="shared" si="40" ref="R133:R196">I133/$J$366</f>
        <v>0.6555944532154772</v>
      </c>
      <c r="S133" s="13">
        <f aca="true" t="shared" si="41" ref="S133:S196">J133/$J$366</f>
        <v>0.6777481471167593</v>
      </c>
      <c r="T133" s="13">
        <f aca="true" t="shared" si="42" ref="T133:T196">L133/$M$366</f>
        <v>0.7106382326972847</v>
      </c>
      <c r="U133" s="13">
        <f aca="true" t="shared" si="43" ref="U133:U196">M133/$M$366</f>
        <v>0.6815543513191509</v>
      </c>
      <c r="W133" s="387">
        <f>1*(M133-Val!$D$28)*PI()/4*Val!$D$2^2*(SIN(D133)+Val!$D$18/2*SIN(2*D133)/(1-Val!$D$18^2*SIN(D133)^2)^0.5)*Val!$D$4*(D133-D132)+1*(M133-Val!$D$28)*PI()/4*Val!$D$3^2*(SIN(E133)+Val!$D$19/2*SIN(2*E133)/(1-Val!$D$19^2*SIN(E133)^2)^0.5)*Val!$D$5*(E133-E132)</f>
        <v>0.17398634114737532</v>
      </c>
    </row>
    <row r="134" spans="2:23" ht="13.5">
      <c r="B134" s="32">
        <v>129</v>
      </c>
      <c r="C134" s="32">
        <f>B134-Data!$D$10</f>
        <v>39</v>
      </c>
      <c r="D134" s="30">
        <f t="shared" si="36"/>
        <v>2.251474735072685</v>
      </c>
      <c r="E134" s="30">
        <f t="shared" si="37"/>
        <v>0.6806784082777885</v>
      </c>
      <c r="F134" s="26">
        <f>Val!$D$11*(1-COS(D134))+Val!$D$12*(1-COS(E134))</f>
        <v>0.0009260870944606718</v>
      </c>
      <c r="G134" s="26">
        <f>Val!$D$11*((1-COS(Calc!D134))+1/Val!$D$18*(1-(1-(Val!$D$18*SIN(Calc!D134))^2)^0.5))+Val!$D$12*((1-COS(Calc!E134))+1/Val!$D$19*(1-(1-(Val!$D$19*SIN(Calc!E134))^2)^0.5))</f>
        <v>0.0009806160515971967</v>
      </c>
      <c r="H134" s="26">
        <f t="shared" si="38"/>
        <v>-5.452895713652485E-05</v>
      </c>
      <c r="I134" s="22">
        <f>Val!$D$11*(1-COS(D134))+Val!$D$14+Val!$D$13+Val!$D$12*((1-COS(Calc!E134)))+Val!$D$15</f>
        <v>0.0016260870944606717</v>
      </c>
      <c r="J134" s="22">
        <f>Val!$D$11*((1-COS(Calc!$D134))+1/Val!$D$18*(1-(1-(Val!$D$18*SIN(Calc!$D134))^2)^0.5))+Val!$D$14+Val!$D$13+Val!$D$12*((1-COS(Calc!$E134))+1/Val!$D$19*(1-(1-(Val!$D$19*SIN(Calc!$E134))^2)^0.5))+Val!$D$15</f>
        <v>0.0016806160515971968</v>
      </c>
      <c r="K134" s="44">
        <f t="shared" si="39"/>
        <v>-5.452895713652507E-05</v>
      </c>
      <c r="L134" s="50">
        <f>Val!$D$42*Val!$D$22/Val!$D$37/(1-Val!$D$39*COS(D134-Val!$D$40))</f>
        <v>119213.989591938</v>
      </c>
      <c r="M134" s="50">
        <f>Val!$D$42*Val!$D$22/(Val!$D$11*((1-COS(Calc!D134))+1/Val!$D$18*(1-(1-(Val!$D$18*SIN(Calc!D134))^2)^0.5))/Val!$D$25+Val!$D$14/Val!$D$25+Val!$D$13/Val!$D$27+Val!$D$12*((1-COS(Calc!E134))+1/Val!$D$19*(1-(1-(Val!$D$19*SIN(Calc!E134))^2)^0.5))/Val!$D$26+Val!$D$15/Val!$D$26)</f>
        <v>114296.03981173522</v>
      </c>
      <c r="N134" s="16">
        <f t="shared" si="28"/>
        <v>1.4570152748096692</v>
      </c>
      <c r="O134" s="16">
        <f t="shared" si="29"/>
        <v>1.3961855068492353</v>
      </c>
      <c r="P134" s="16">
        <f t="shared" si="30"/>
        <v>-1.2284366891116656E-05</v>
      </c>
      <c r="Q134" s="16">
        <f t="shared" si="31"/>
        <v>-1.2280054299410384E-05</v>
      </c>
      <c r="R134" s="13">
        <f t="shared" si="40"/>
        <v>0.6605756631834817</v>
      </c>
      <c r="S134" s="13">
        <f t="shared" si="41"/>
        <v>0.6827273069336036</v>
      </c>
      <c r="T134" s="13">
        <f t="shared" si="42"/>
        <v>0.7034093923781232</v>
      </c>
      <c r="U134" s="13">
        <f t="shared" si="43"/>
        <v>0.6743915558097838</v>
      </c>
      <c r="W134" s="387">
        <f>1*(M134-Val!$D$28)*PI()/4*Val!$D$2^2*(SIN(D134)+Val!$D$18/2*SIN(2*D134)/(1-Val!$D$18^2*SIN(D134)^2)^0.5)*Val!$D$4*(D134-D133)+1*(M134-Val!$D$28)*PI()/4*Val!$D$3^2*(SIN(E134)+Val!$D$19/2*SIN(2*E134)/(1-Val!$D$19^2*SIN(E134)^2)^0.5)*Val!$D$5*(E134-E133)</f>
        <v>0.1594490530863996</v>
      </c>
    </row>
    <row r="135" spans="2:23" ht="13.5">
      <c r="B135" s="32">
        <v>130</v>
      </c>
      <c r="C135" s="32">
        <f>B135-Data!$D$10</f>
        <v>40</v>
      </c>
      <c r="D135" s="30">
        <f t="shared" si="36"/>
        <v>2.2689280275926285</v>
      </c>
      <c r="E135" s="30">
        <f t="shared" si="37"/>
        <v>0.6981317007977318</v>
      </c>
      <c r="F135" s="26">
        <f>Val!$D$11*(1-COS(D135))+Val!$D$12*(1-COS(E135))</f>
        <v>0.0009383714613517885</v>
      </c>
      <c r="G135" s="26">
        <f>Val!$D$11*((1-COS(Calc!D135))+1/Val!$D$18*(1-(1-(Val!$D$18*SIN(Calc!D135))^2)^0.5))+Val!$D$12*((1-COS(Calc!E135))+1/Val!$D$19*(1-(1-(Val!$D$19*SIN(Calc!E135))^2)^0.5))</f>
        <v>0.000992896105896607</v>
      </c>
      <c r="H135" s="26">
        <f t="shared" si="38"/>
        <v>-5.452464454481858E-05</v>
      </c>
      <c r="I135" s="22">
        <f>Val!$D$11*(1-COS(D135))+Val!$D$14+Val!$D$13+Val!$D$12*((1-COS(Calc!E135)))+Val!$D$15</f>
        <v>0.0016383714613517886</v>
      </c>
      <c r="J135" s="22">
        <f>Val!$D$11*((1-COS(Calc!$D135))+1/Val!$D$18*(1-(1-(Val!$D$18*SIN(Calc!$D135))^2)^0.5))+Val!$D$14+Val!$D$13+Val!$D$12*((1-COS(Calc!$E135))+1/Val!$D$19*(1-(1-(Val!$D$19*SIN(Calc!$E135))^2)^0.5))+Val!$D$15</f>
        <v>0.0016928961058966072</v>
      </c>
      <c r="K135" s="44">
        <f t="shared" si="39"/>
        <v>-5.452464454481858E-05</v>
      </c>
      <c r="L135" s="50">
        <f>Val!$D$42*Val!$D$22/Val!$D$37/(1-Val!$D$39*COS(D135-Val!$D$40))</f>
        <v>118000.55922836348</v>
      </c>
      <c r="M135" s="50">
        <f>Val!$D$42*Val!$D$22/(Val!$D$11*((1-COS(Calc!D135))+1/Val!$D$18*(1-(1-(Val!$D$18*SIN(Calc!D135))^2)^0.5))/Val!$D$25+Val!$D$14/Val!$D$25+Val!$D$13/Val!$D$27+Val!$D$12*((1-COS(Calc!E135))+1/Val!$D$19*(1-(1-(Val!$D$19*SIN(Calc!E135))^2)^0.5))/Val!$D$26+Val!$D$15/Val!$D$26)</f>
        <v>113094.7310770013</v>
      </c>
      <c r="N135" s="16">
        <f aca="true" t="shared" si="44" ref="N135:N198">(L135+L136)/2*(I136-I135)</f>
        <v>1.4443873675453494</v>
      </c>
      <c r="O135" s="16">
        <f aca="true" t="shared" si="45" ref="O135:O198">(M135+M136)/2*(J136-J135)</f>
        <v>1.3837105369418854</v>
      </c>
      <c r="P135" s="16">
        <f aca="true" t="shared" si="46" ref="P135:P198">F135-F136</f>
        <v>-1.2303139501417004E-05</v>
      </c>
      <c r="Q135" s="16">
        <f aca="true" t="shared" si="47" ref="Q135:Q198">G135-G136</f>
        <v>-1.2299582013645515E-05</v>
      </c>
      <c r="R135" s="13">
        <f t="shared" si="40"/>
        <v>0.6655660193787506</v>
      </c>
      <c r="S135" s="13">
        <f t="shared" si="41"/>
        <v>0.6877159111974193</v>
      </c>
      <c r="T135" s="13">
        <f t="shared" si="42"/>
        <v>0.6962496763275428</v>
      </c>
      <c r="U135" s="13">
        <f t="shared" si="43"/>
        <v>0.6673033621334364</v>
      </c>
      <c r="W135" s="387">
        <f>1*(M135-Val!$D$28)*PI()/4*Val!$D$2^2*(SIN(D135)+Val!$D$18/2*SIN(2*D135)/(1-Val!$D$18^2*SIN(D135)^2)^0.5)*Val!$D$4*(D135-D134)+1*(M135-Val!$D$28)*PI()/4*Val!$D$3^2*(SIN(E135)+Val!$D$19/2*SIN(2*E135)/(1-Val!$D$19^2*SIN(E135)^2)^0.5)*Val!$D$5*(E135-E134)</f>
        <v>0.14496242436369283</v>
      </c>
    </row>
    <row r="136" spans="2:23" ht="13.5">
      <c r="B136" s="32">
        <v>131</v>
      </c>
      <c r="C136" s="32">
        <f>B136-Data!$D$10</f>
        <v>41</v>
      </c>
      <c r="D136" s="30">
        <f t="shared" si="36"/>
        <v>2.2863813201125716</v>
      </c>
      <c r="E136" s="30">
        <f t="shared" si="37"/>
        <v>0.7155849933176751</v>
      </c>
      <c r="F136" s="26">
        <f>Val!$D$11*(1-COS(D136))+Val!$D$12*(1-COS(E136))</f>
        <v>0.0009506746008532055</v>
      </c>
      <c r="G136" s="26">
        <f>Val!$D$11*((1-COS(Calc!D136))+1/Val!$D$18*(1-(1-(Val!$D$18*SIN(Calc!D136))^2)^0.5))+Val!$D$12*((1-COS(Calc!E136))+1/Val!$D$19*(1-(1-(Val!$D$19*SIN(Calc!E136))^2)^0.5))</f>
        <v>0.0010051956879102526</v>
      </c>
      <c r="H136" s="26">
        <f t="shared" si="38"/>
        <v>-5.452108705704709E-05</v>
      </c>
      <c r="I136" s="22">
        <f>Val!$D$11*(1-COS(D136))+Val!$D$14+Val!$D$13+Val!$D$12*((1-COS(Calc!E136)))+Val!$D$15</f>
        <v>0.0016506746008532055</v>
      </c>
      <c r="J136" s="22">
        <f>Val!$D$11*((1-COS(Calc!$D136))+1/Val!$D$18*(1-(1-(Val!$D$18*SIN(Calc!$D136))^2)^0.5))+Val!$D$14+Val!$D$13+Val!$D$12*((1-COS(Calc!$E136))+1/Val!$D$19*(1-(1-(Val!$D$19*SIN(Calc!$E136))^2)^0.5))+Val!$D$15</f>
        <v>0.0017051956879102527</v>
      </c>
      <c r="K136" s="44">
        <f t="shared" si="39"/>
        <v>-5.45210870570472E-05</v>
      </c>
      <c r="L136" s="50">
        <f>Val!$D$42*Val!$D$22/Val!$D$37/(1-Val!$D$39*COS(D136-Val!$D$40))</f>
        <v>116799.24408671817</v>
      </c>
      <c r="M136" s="50">
        <f>Val!$D$42*Val!$D$22/(Val!$D$11*((1-COS(Calc!D136))+1/Val!$D$18*(1-(1-(Val!$D$18*SIN(Calc!D136))^2)^0.5))/Val!$D$25+Val!$D$14/Val!$D$25+Val!$D$13/Val!$D$27+Val!$D$12*((1-COS(Calc!E136))+1/Val!$D$19*(1-(1-(Val!$D$19*SIN(Calc!E136))^2)^0.5))/Val!$D$26+Val!$D$15/Val!$D$26)</f>
        <v>111906.49829920947</v>
      </c>
      <c r="N136" s="16">
        <f t="shared" si="44"/>
        <v>1.4314301674505714</v>
      </c>
      <c r="O136" s="16">
        <f t="shared" si="45"/>
        <v>1.3709371488680249</v>
      </c>
      <c r="P136" s="16">
        <f t="shared" si="46"/>
        <v>-1.2318164456242122E-05</v>
      </c>
      <c r="Q136" s="16">
        <f t="shared" si="47"/>
        <v>-1.2315379395201609E-05</v>
      </c>
      <c r="R136" s="13">
        <f t="shared" si="40"/>
        <v>0.6705640016904441</v>
      </c>
      <c r="S136" s="13">
        <f t="shared" si="41"/>
        <v>0.6927124483283152</v>
      </c>
      <c r="T136" s="13">
        <f t="shared" si="42"/>
        <v>0.6891614448479002</v>
      </c>
      <c r="U136" s="13">
        <f t="shared" si="43"/>
        <v>0.6602923217421933</v>
      </c>
      <c r="W136" s="387">
        <f>1*(M136-Val!$D$28)*PI()/4*Val!$D$2^2*(SIN(D136)+Val!$D$18/2*SIN(2*D136)/(1-Val!$D$18^2*SIN(D136)^2)^0.5)*Val!$D$4*(D136-D135)+1*(M136-Val!$D$28)*PI()/4*Val!$D$3^2*(SIN(E136)+Val!$D$19/2*SIN(2*E136)/(1-Val!$D$19^2*SIN(E136)^2)^0.5)*Val!$D$5*(E136-E135)</f>
        <v>0.13054587520073052</v>
      </c>
    </row>
    <row r="137" spans="2:23" ht="13.5">
      <c r="B137" s="32">
        <v>132</v>
      </c>
      <c r="C137" s="32">
        <f>B137-Data!$D$10</f>
        <v>42</v>
      </c>
      <c r="D137" s="30">
        <f t="shared" si="36"/>
        <v>2.303834612632515</v>
      </c>
      <c r="E137" s="30">
        <f t="shared" si="37"/>
        <v>0.7330382858376184</v>
      </c>
      <c r="F137" s="26">
        <f>Val!$D$11*(1-COS(D137))+Val!$D$12*(1-COS(E137))</f>
        <v>0.0009629927653094476</v>
      </c>
      <c r="G137" s="26">
        <f>Val!$D$11*((1-COS(Calc!D137))+1/Val!$D$18*(1-(1-(Val!$D$18*SIN(Calc!D137))^2)^0.5))+Val!$D$12*((1-COS(Calc!E137))+1/Val!$D$19*(1-(1-(Val!$D$19*SIN(Calc!E137))^2)^0.5))</f>
        <v>0.0010175110673054542</v>
      </c>
      <c r="H137" s="26">
        <f t="shared" si="38"/>
        <v>-5.451830199600658E-05</v>
      </c>
      <c r="I137" s="22">
        <f>Val!$D$11*(1-COS(D137))+Val!$D$14+Val!$D$13+Val!$D$12*((1-COS(Calc!E137)))+Val!$D$15</f>
        <v>0.0016629927653094476</v>
      </c>
      <c r="J137" s="22">
        <f>Val!$D$11*((1-COS(Calc!$D137))+1/Val!$D$18*(1-(1-(Val!$D$18*SIN(Calc!$D137))^2)^0.5))+Val!$D$14+Val!$D$13+Val!$D$12*((1-COS(Calc!$E137))+1/Val!$D$19*(1-(1-(Val!$D$19*SIN(Calc!$E137))^2)^0.5))+Val!$D$15</f>
        <v>0.0017175110673054543</v>
      </c>
      <c r="K137" s="44">
        <f t="shared" si="39"/>
        <v>-5.451830199600669E-05</v>
      </c>
      <c r="L137" s="50">
        <f>Val!$D$42*Val!$D$22/Val!$D$37/(1-Val!$D$39*COS(D137-Val!$D$40))</f>
        <v>115610.40956508165</v>
      </c>
      <c r="M137" s="50">
        <f>Val!$D$42*Val!$D$22/(Val!$D$11*((1-COS(Calc!D137))+1/Val!$D$18*(1-(1-(Val!$D$18*SIN(Calc!D137))^2)^0.5))/Val!$D$25+Val!$D$14/Val!$D$25+Val!$D$13/Val!$D$27+Val!$D$12*((1-COS(Calc!E137))+1/Val!$D$19*(1-(1-(Val!$D$19*SIN(Calc!E137))^2)^0.5))/Val!$D$26+Val!$D$15/Val!$D$26)</f>
        <v>110731.73392645427</v>
      </c>
      <c r="N137" s="16">
        <f t="shared" si="44"/>
        <v>1.4181614391311415</v>
      </c>
      <c r="O137" s="16">
        <f t="shared" si="45"/>
        <v>1.3578828774116993</v>
      </c>
      <c r="P137" s="16">
        <f t="shared" si="46"/>
        <v>-1.2329437178844826E-05</v>
      </c>
      <c r="Q137" s="16">
        <f t="shared" si="47"/>
        <v>-1.2327438105945096E-05</v>
      </c>
      <c r="R137" s="13">
        <f t="shared" si="40"/>
        <v>0.6755680876847334</v>
      </c>
      <c r="S137" s="13">
        <f t="shared" si="41"/>
        <v>0.6977154029296122</v>
      </c>
      <c r="T137" s="13">
        <f t="shared" si="42"/>
        <v>0.6821468539314743</v>
      </c>
      <c r="U137" s="13">
        <f t="shared" si="43"/>
        <v>0.653360750234053</v>
      </c>
      <c r="W137" s="387">
        <f>1*(M137-Val!$D$28)*PI()/4*Val!$D$2^2*(SIN(D137)+Val!$D$18/2*SIN(2*D137)/(1-Val!$D$18^2*SIN(D137)^2)^0.5)*Val!$D$4*(D137-D136)+1*(M137-Val!$D$28)*PI()/4*Val!$D$3^2*(SIN(E137)+Val!$D$19/2*SIN(2*E137)/(1-Val!$D$19^2*SIN(E137)^2)^0.5)*Val!$D$5*(E137-E136)</f>
        <v>0.11621813200798874</v>
      </c>
    </row>
    <row r="138" spans="2:23" ht="13.5">
      <c r="B138" s="32">
        <v>133</v>
      </c>
      <c r="C138" s="32">
        <f>B138-Data!$D$10</f>
        <v>43</v>
      </c>
      <c r="D138" s="30">
        <f t="shared" si="36"/>
        <v>2.321287905152458</v>
      </c>
      <c r="E138" s="30">
        <f t="shared" si="37"/>
        <v>0.7504915783575618</v>
      </c>
      <c r="F138" s="26">
        <f>Val!$D$11*(1-COS(D138))+Val!$D$12*(1-COS(E138))</f>
        <v>0.0009753222024882924</v>
      </c>
      <c r="G138" s="26">
        <f>Val!$D$11*((1-COS(Calc!D138))+1/Val!$D$18*(1-(1-(Val!$D$18*SIN(Calc!D138))^2)^0.5))+Val!$D$12*((1-COS(Calc!E138))+1/Val!$D$19*(1-(1-(Val!$D$19*SIN(Calc!E138))^2)^0.5))</f>
        <v>0.0010298385054113993</v>
      </c>
      <c r="H138" s="26">
        <f t="shared" si="38"/>
        <v>-5.451630292310685E-05</v>
      </c>
      <c r="I138" s="22">
        <f>Val!$D$11*(1-COS(D138))+Val!$D$14+Val!$D$13+Val!$D$12*((1-COS(Calc!E138)))+Val!$D$15</f>
        <v>0.0016753222024882923</v>
      </c>
      <c r="J138" s="22">
        <f>Val!$D$11*((1-COS(Calc!$D138))+1/Val!$D$18*(1-(1-(Val!$D$18*SIN(Calc!$D138))^2)^0.5))+Val!$D$14+Val!$D$13+Val!$D$12*((1-COS(Calc!$E138))+1/Val!$D$19*(1-(1-(Val!$D$19*SIN(Calc!$E138))^2)^0.5))+Val!$D$15</f>
        <v>0.0017298385054113994</v>
      </c>
      <c r="K138" s="44">
        <f t="shared" si="39"/>
        <v>-5.451630292310707E-05</v>
      </c>
      <c r="L138" s="50">
        <f>Val!$D$42*Val!$D$22/Val!$D$37/(1-Val!$D$39*COS(D138-Val!$D$40))</f>
        <v>114434.38786727365</v>
      </c>
      <c r="M138" s="50">
        <f>Val!$D$42*Val!$D$22/(Val!$D$11*((1-COS(Calc!D138))+1/Val!$D$18*(1-(1-(Val!$D$18*SIN(Calc!D138))^2)^0.5))/Val!$D$25+Val!$D$14/Val!$D$25+Val!$D$13/Val!$D$27+Val!$D$12*((1-COS(Calc!E138))+1/Val!$D$19*(1-(1-(Val!$D$19*SIN(Calc!E138))^2)^0.5))/Val!$D$26+Val!$D$15/Val!$D$26)</f>
        <v>109570.79215264072</v>
      </c>
      <c r="N138" s="16">
        <f t="shared" si="44"/>
        <v>1.4045984320045404</v>
      </c>
      <c r="O138" s="16">
        <f t="shared" si="45"/>
        <v>1.3445646673139615</v>
      </c>
      <c r="P138" s="16">
        <f t="shared" si="46"/>
        <v>-1.2336954235445162E-05</v>
      </c>
      <c r="Q138" s="16">
        <f t="shared" si="47"/>
        <v>-1.233575088477345E-05</v>
      </c>
      <c r="R138" s="13">
        <f t="shared" si="40"/>
        <v>0.680576753068549</v>
      </c>
      <c r="S138" s="13">
        <f t="shared" si="41"/>
        <v>0.7027232562173777</v>
      </c>
      <c r="T138" s="13">
        <f t="shared" si="42"/>
        <v>0.6752078637113655</v>
      </c>
      <c r="U138" s="13">
        <f t="shared" si="43"/>
        <v>0.6465107374922615</v>
      </c>
      <c r="W138" s="387">
        <f>1*(M138-Val!$D$28)*PI()/4*Val!$D$2^2*(SIN(D138)+Val!$D$18/2*SIN(2*D138)/(1-Val!$D$18^2*SIN(D138)^2)^0.5)*Val!$D$4*(D138-D137)+1*(M138-Val!$D$28)*PI()/4*Val!$D$3^2*(SIN(E138)+Val!$D$19/2*SIN(2*E138)/(1-Val!$D$19^2*SIN(E138)^2)^0.5)*Val!$D$5*(E138-E137)</f>
        <v>0.10199722317290881</v>
      </c>
    </row>
    <row r="139" spans="2:23" ht="13.5">
      <c r="B139" s="32">
        <v>134</v>
      </c>
      <c r="C139" s="32">
        <f>B139-Data!$D$10</f>
        <v>44</v>
      </c>
      <c r="D139" s="30">
        <f t="shared" si="36"/>
        <v>2.3387411976724017</v>
      </c>
      <c r="E139" s="30">
        <f t="shared" si="37"/>
        <v>0.767944870877505</v>
      </c>
      <c r="F139" s="26">
        <f>Val!$D$11*(1-COS(D139))+Val!$D$12*(1-COS(E139))</f>
        <v>0.0009876591567237376</v>
      </c>
      <c r="G139" s="26">
        <f>Val!$D$11*((1-COS(Calc!D139))+1/Val!$D$18*(1-(1-(Val!$D$18*SIN(Calc!D139))^2)^0.5))+Val!$D$12*((1-COS(Calc!E139))+1/Val!$D$19*(1-(1-(Val!$D$19*SIN(Calc!E139))^2)^0.5))</f>
        <v>0.0010421742562961727</v>
      </c>
      <c r="H139" s="26">
        <f t="shared" si="38"/>
        <v>-5.451509957243514E-05</v>
      </c>
      <c r="I139" s="22">
        <f>Val!$D$11*(1-COS(D139))+Val!$D$14+Val!$D$13+Val!$D$12*((1-COS(Calc!E139)))+Val!$D$15</f>
        <v>0.0016876591567237375</v>
      </c>
      <c r="J139" s="22">
        <f>Val!$D$11*((1-COS(Calc!$D139))+1/Val!$D$18*(1-(1-(Val!$D$18*SIN(Calc!$D139))^2)^0.5))+Val!$D$14+Val!$D$13+Val!$D$12*((1-COS(Calc!$E139))+1/Val!$D$19*(1-(1-(Val!$D$19*SIN(Calc!$E139))^2)^0.5))+Val!$D$15</f>
        <v>0.0017421742562961726</v>
      </c>
      <c r="K139" s="44">
        <f t="shared" si="39"/>
        <v>-5.451509957243514E-05</v>
      </c>
      <c r="L139" s="50">
        <f>Val!$D$42*Val!$D$22/Val!$D$37/(1-Val!$D$39*COS(D139-Val!$D$40))</f>
        <v>113271.47943164274</v>
      </c>
      <c r="M139" s="50">
        <f>Val!$D$42*Val!$D$22/(Val!$D$11*((1-COS(Calc!D139))+1/Val!$D$18*(1-(1-(Val!$D$18*SIN(Calc!D139))^2)^0.5))/Val!$D$25+Val!$D$14/Val!$D$25+Val!$D$13/Val!$D$27+Val!$D$12*((1-COS(Calc!E139))+1/Val!$D$19*(1-(1-(Val!$D$19*SIN(Calc!E139))^2)^0.5))/Val!$D$26+Val!$D$15/Val!$D$26)</f>
        <v>108423.99063332481</v>
      </c>
      <c r="N139" s="16">
        <f t="shared" si="44"/>
        <v>1.3907578770920523</v>
      </c>
      <c r="O139" s="16">
        <f t="shared" si="45"/>
        <v>1.3309988743878336</v>
      </c>
      <c r="P139" s="16">
        <f t="shared" si="46"/>
        <v>-1.2340713336274605E-05</v>
      </c>
      <c r="Q139" s="16">
        <f t="shared" si="47"/>
        <v>-1.234031156727741E-05</v>
      </c>
      <c r="R139" s="13">
        <f t="shared" si="40"/>
        <v>0.6855884721538951</v>
      </c>
      <c r="S139" s="13">
        <f t="shared" si="41"/>
        <v>0.7077344864579559</v>
      </c>
      <c r="T139" s="13">
        <f t="shared" si="42"/>
        <v>0.6683462468919092</v>
      </c>
      <c r="U139" s="13">
        <f t="shared" si="43"/>
        <v>0.639744157809445</v>
      </c>
      <c r="W139" s="387">
        <f>1*(M139-Val!$D$28)*PI()/4*Val!$D$2^2*(SIN(D139)+Val!$D$18/2*SIN(2*D139)/(1-Val!$D$18^2*SIN(D139)^2)^0.5)*Val!$D$4*(D139-D138)+1*(M139-Val!$D$28)*PI()/4*Val!$D$3^2*(SIN(E139)+Val!$D$19/2*SIN(2*E139)/(1-Val!$D$19^2*SIN(E139)^2)^0.5)*Val!$D$5*(E139-E138)</f>
        <v>0.08790047713536334</v>
      </c>
    </row>
    <row r="140" spans="2:24" ht="13.5">
      <c r="B140" s="98">
        <v>135</v>
      </c>
      <c r="C140" s="98">
        <f>B140-Data!$D$10</f>
        <v>45</v>
      </c>
      <c r="D140" s="99">
        <f>PI()/180*B140</f>
        <v>2.356194490192345</v>
      </c>
      <c r="E140" s="99">
        <f>PI()/180*C140</f>
        <v>0.7853981633974483</v>
      </c>
      <c r="F140" s="100">
        <f>Val!$D$11*(1-COS(D140))+Val!$D$12*(1-COS(E140))</f>
        <v>0.0009999998700600122</v>
      </c>
      <c r="G140" s="100">
        <f>Val!$D$11*((1-COS(Calc!D140))+1/Val!$D$18*(1-(1-(Val!$D$18*SIN(Calc!D140))^2)^0.5))+Val!$D$12*((1-COS(Calc!E140))+1/Val!$D$19*(1-(1-(Val!$D$19*SIN(Calc!E140))^2)^0.5))</f>
        <v>0.0010545145678634502</v>
      </c>
      <c r="H140" s="100">
        <f>F140-G140</f>
        <v>-5.4514697803437944E-05</v>
      </c>
      <c r="I140" s="100">
        <f>Val!$D$11*(1-COS(D140))+Val!$D$14+Val!$D$13+Val!$D$12*((1-COS(Calc!E140)))+Val!$D$15</f>
        <v>0.001699999870060012</v>
      </c>
      <c r="J140" s="100">
        <f>Val!$D$11*((1-COS(Calc!$D140))+1/Val!$D$18*(1-(1-(Val!$D$18*SIN(Calc!$D140))^2)^0.5))+Val!$D$14+Val!$D$13+Val!$D$12*((1-COS(Calc!$E140))+1/Val!$D$19*(1-(1-(Val!$D$19*SIN(Calc!$E140))^2)^0.5))+Val!$D$15</f>
        <v>0.00175451456786345</v>
      </c>
      <c r="K140" s="101">
        <f>I140-J140</f>
        <v>-5.4514697803437944E-05</v>
      </c>
      <c r="L140" s="230">
        <f>Val!$D$42*Val!$D$22/Val!$D$37/(1-Val!$D$39*COS(D140-Val!$D$40))</f>
        <v>112121.95435050716</v>
      </c>
      <c r="M140" s="230">
        <f>Val!$D$42*Val!$D$22/(Val!$D$11*((1-COS(Calc!D140))+1/Val!$D$18*(1-(1-(Val!$D$18*SIN(Calc!D140))^2)^0.5))/Val!$D$25+Val!$D$14/Val!$D$25+Val!$D$13/Val!$D$27+Val!$D$12*((1-COS(Calc!E140))+1/Val!$D$19*(1-(1-(Val!$D$19*SIN(Calc!E140))^2)^0.5))/Val!$D$26+Val!$D$15/Val!$D$26)</f>
        <v>107291.61219103505</v>
      </c>
      <c r="N140" s="395">
        <f t="shared" si="44"/>
        <v>1.376655985652133</v>
      </c>
      <c r="O140" s="395">
        <f t="shared" si="45"/>
        <v>1.317201268604976</v>
      </c>
      <c r="P140" s="395">
        <f t="shared" si="46"/>
        <v>-1.2340713336274605E-05</v>
      </c>
      <c r="Q140" s="395">
        <f t="shared" si="47"/>
        <v>-1.23411151052718E-05</v>
      </c>
      <c r="R140" s="99">
        <f t="shared" si="40"/>
        <v>0.6906017183225884</v>
      </c>
      <c r="S140" s="99">
        <f t="shared" si="41"/>
        <v>0.712747569413484</v>
      </c>
      <c r="T140" s="99">
        <f t="shared" si="42"/>
        <v>0.6615635971239354</v>
      </c>
      <c r="U140" s="99">
        <f t="shared" si="43"/>
        <v>0.6330626799496772</v>
      </c>
      <c r="V140" s="406" t="s">
        <v>335</v>
      </c>
      <c r="W140" s="388">
        <f>1*(M140-Val!$D$28)*PI()/4*Val!$D$2^2*(SIN(D140)+Val!$D$18/2*SIN(2*D140)/(1-Val!$D$18^2*SIN(D140)^2)^0.5)*Val!$D$4*(D140-D139)+1*(M140-Val!$D$28)*PI()/4*Val!$D$3^2*(SIN(E140)+Val!$D$19/2*SIN(2*E140)/(1-Val!$D$19^2*SIN(E140)^2)^0.5)*Val!$D$5*(E140-E139)</f>
        <v>0.07394452254612388</v>
      </c>
      <c r="X140" s="407"/>
    </row>
    <row r="141" spans="2:23" ht="13.5">
      <c r="B141" s="32">
        <v>136</v>
      </c>
      <c r="C141" s="32">
        <f>B141-Data!$D$10</f>
        <v>46</v>
      </c>
      <c r="D141" s="30">
        <f>PI()/180*B141</f>
        <v>2.3736477827122884</v>
      </c>
      <c r="E141" s="30">
        <f>PI()/180*C141</f>
        <v>0.8028514559173916</v>
      </c>
      <c r="F141" s="26">
        <f>Val!$D$11*(1-COS(D141))+Val!$D$12*(1-COS(E141))</f>
        <v>0.0010123405833962868</v>
      </c>
      <c r="G141" s="26">
        <f>Val!$D$11*((1-COS(Calc!D141))+1/Val!$D$18*(1-(1-(Val!$D$18*SIN(Calc!D141))^2)^0.5))+Val!$D$12*((1-COS(Calc!E141))+1/Val!$D$19*(1-(1-(Val!$D$19*SIN(Calc!E141))^2)^0.5))</f>
        <v>0.001066855682968722</v>
      </c>
      <c r="H141" s="26">
        <f>F141-G141</f>
        <v>-5.451509957243514E-05</v>
      </c>
      <c r="I141" s="22">
        <f>Val!$D$11*(1-COS(D141))+Val!$D$14+Val!$D$13+Val!$D$12*((1-COS(Calc!E141)))+Val!$D$15</f>
        <v>0.001712340583396287</v>
      </c>
      <c r="J141" s="22">
        <f>Val!$D$11*((1-COS(Calc!$D141))+1/Val!$D$18*(1-(1-(Val!$D$18*SIN(Calc!$D141))^2)^0.5))+Val!$D$14+Val!$D$13+Val!$D$12*((1-COS(Calc!$E141))+1/Val!$D$19*(1-(1-(Val!$D$19*SIN(Calc!$E141))^2)^0.5))+Val!$D$15</f>
        <v>0.0017668556829687218</v>
      </c>
      <c r="K141" s="44">
        <f>I141-J141</f>
        <v>-5.451509957243492E-05</v>
      </c>
      <c r="L141" s="50">
        <f>Val!$D$42*Val!$D$22/Val!$D$37/(1-Val!$D$39*COS(D141-Val!$D$40))</f>
        <v>110986.05377500877</v>
      </c>
      <c r="M141" s="50">
        <f>Val!$D$42*Val!$D$22/(Val!$D$11*((1-COS(Calc!D141))+1/Val!$D$18*(1-(1-(Val!$D$18*SIN(Calc!D141))^2)^0.5))/Val!$D$25+Val!$D$14/Val!$D$25+Val!$D$13/Val!$D$27+Val!$D$12*((1-COS(Calc!E141))+1/Val!$D$19*(1-(1-(Val!$D$19*SIN(Calc!E141))^2)^0.5))/Val!$D$26+Val!$D$15/Val!$D$26)</f>
        <v>106173.90650302566</v>
      </c>
      <c r="N141" s="16">
        <f t="shared" si="44"/>
        <v>1.362308449497784</v>
      </c>
      <c r="O141" s="16">
        <f t="shared" si="45"/>
        <v>1.3031870389565314</v>
      </c>
      <c r="P141" s="16">
        <f t="shared" si="46"/>
        <v>-1.2336954235445162E-05</v>
      </c>
      <c r="Q141" s="16">
        <f t="shared" si="47"/>
        <v>-1.2338157586116874E-05</v>
      </c>
      <c r="R141" s="13">
        <f t="shared" si="40"/>
        <v>0.695614964491282</v>
      </c>
      <c r="S141" s="13">
        <f t="shared" si="41"/>
        <v>0.7177609787953428</v>
      </c>
      <c r="T141" s="13">
        <f t="shared" si="42"/>
        <v>0.6548613372939589</v>
      </c>
      <c r="U141" s="13">
        <f t="shared" si="43"/>
        <v>0.6264677771068868</v>
      </c>
      <c r="W141" s="387">
        <f>1*(M141-Val!$D$28)*PI()/4*Val!$D$2^2*(SIN(D141)+Val!$D$18/2*SIN(2*D141)/(1-Val!$D$18^2*SIN(D141)^2)^0.5)*Val!$D$4*(D141-D140)+1*(M141-Val!$D$28)*PI()/4*Val!$D$3^2*(SIN(E141)+Val!$D$19/2*SIN(2*E141)/(1-Val!$D$19^2*SIN(E141)^2)^0.5)*Val!$D$5*(E141-E140)</f>
        <v>0.060145290313050936</v>
      </c>
    </row>
    <row r="142" spans="2:23" ht="13.5">
      <c r="B142" s="32">
        <v>137</v>
      </c>
      <c r="C142" s="32">
        <f>B142-Data!$D$10</f>
        <v>47</v>
      </c>
      <c r="D142" s="30">
        <f aca="true" t="shared" si="48" ref="D142:D184">PI()/180*B142</f>
        <v>2.3911010752322315</v>
      </c>
      <c r="E142" s="30">
        <f aca="true" t="shared" si="49" ref="E142:E184">PI()/180*C142</f>
        <v>0.8203047484373349</v>
      </c>
      <c r="F142" s="26">
        <f>Val!$D$11*(1-COS(D142))+Val!$D$12*(1-COS(E142))</f>
        <v>0.001024677537631732</v>
      </c>
      <c r="G142" s="26">
        <f>Val!$D$11*((1-COS(Calc!D142))+1/Val!$D$18*(1-(1-(Val!$D$18*SIN(Calc!D142))^2)^0.5))+Val!$D$12*((1-COS(Calc!E142))+1/Val!$D$19*(1-(1-(Val!$D$19*SIN(Calc!E142))^2)^0.5))</f>
        <v>0.0010791938405548388</v>
      </c>
      <c r="H142" s="26">
        <f aca="true" t="shared" si="50" ref="H142:H184">F142-G142</f>
        <v>-5.451630292310685E-05</v>
      </c>
      <c r="I142" s="22">
        <f>Val!$D$11*(1-COS(D142))+Val!$D$14+Val!$D$13+Val!$D$12*((1-COS(Calc!E142)))+Val!$D$15</f>
        <v>0.0017246775376317319</v>
      </c>
      <c r="J142" s="22">
        <f>Val!$D$11*((1-COS(Calc!$D142))+1/Val!$D$18*(1-(1-(Val!$D$18*SIN(Calc!$D142))^2)^0.5))+Val!$D$14+Val!$D$13+Val!$D$12*((1-COS(Calc!$E142))+1/Val!$D$19*(1-(1-(Val!$D$19*SIN(Calc!$E142))^2)^0.5))+Val!$D$15</f>
        <v>0.001779193840554839</v>
      </c>
      <c r="K142" s="44">
        <f aca="true" t="shared" si="51" ref="K142:K184">I142-J142</f>
        <v>-5.451630292310707E-05</v>
      </c>
      <c r="L142" s="50">
        <f>Val!$D$42*Val!$D$22/Val!$D$37/(1-Val!$D$39*COS(D142-Val!$D$40))</f>
        <v>109863.99130074827</v>
      </c>
      <c r="M142" s="50">
        <f>Val!$D$42*Val!$D$22/(Val!$D$11*((1-COS(Calc!D142))+1/Val!$D$18*(1-(1-(Val!$D$18*SIN(Calc!D142))^2)^0.5))/Val!$D$25+Val!$D$14/Val!$D$25+Val!$D$13/Val!$D$27+Val!$D$12*((1-COS(Calc!E142))+1/Val!$D$19*(1-(1-(Val!$D$19*SIN(Calc!E142))^2)^0.5))/Val!$D$26+Val!$D$15/Val!$D$26)</f>
        <v>105071.09176525369</v>
      </c>
      <c r="N142" s="16">
        <f t="shared" si="44"/>
        <v>1.3477304428492625</v>
      </c>
      <c r="O142" s="16">
        <f t="shared" si="45"/>
        <v>1.288970799897659</v>
      </c>
      <c r="P142" s="16">
        <f t="shared" si="46"/>
        <v>-1.2329437178844717E-05</v>
      </c>
      <c r="Q142" s="16">
        <f t="shared" si="47"/>
        <v>-1.2331436251744772E-05</v>
      </c>
      <c r="R142" s="13">
        <f t="shared" si="40"/>
        <v>0.7006266835766279</v>
      </c>
      <c r="S142" s="13">
        <f t="shared" si="41"/>
        <v>0.7227731867254568</v>
      </c>
      <c r="T142" s="13">
        <f t="shared" si="42"/>
        <v>0.6482407276999718</v>
      </c>
      <c r="U142" s="13">
        <f t="shared" si="43"/>
        <v>0.6199607367229764</v>
      </c>
      <c r="W142" s="387">
        <f>1*(M142-Val!$D$28)*PI()/4*Val!$D$2^2*(SIN(D142)+Val!$D$18/2*SIN(2*D142)/(1-Val!$D$18^2*SIN(D142)^2)^0.5)*Val!$D$4*(D142-D141)+1*(M142-Val!$D$28)*PI()/4*Val!$D$3^2*(SIN(E142)+Val!$D$19/2*SIN(2*E142)/(1-Val!$D$19^2*SIN(E142)^2)^0.5)*Val!$D$5*(E142-E141)</f>
        <v>0.04651801734917276</v>
      </c>
    </row>
    <row r="143" spans="2:23" ht="13.5">
      <c r="B143" s="32">
        <v>138</v>
      </c>
      <c r="C143" s="32">
        <f>B143-Data!$D$10</f>
        <v>48</v>
      </c>
      <c r="D143" s="30">
        <f t="shared" si="48"/>
        <v>2.4085543677521746</v>
      </c>
      <c r="E143" s="30">
        <f t="shared" si="49"/>
        <v>0.8377580409572782</v>
      </c>
      <c r="F143" s="26">
        <f>Val!$D$11*(1-COS(D143))+Val!$D$12*(1-COS(E143))</f>
        <v>0.0010370069748105767</v>
      </c>
      <c r="G143" s="26">
        <f>Val!$D$11*((1-COS(Calc!D143))+1/Val!$D$18*(1-(1-(Val!$D$18*SIN(Calc!D143))^2)^0.5))+Val!$D$12*((1-COS(Calc!E143))+1/Val!$D$19*(1-(1-(Val!$D$19*SIN(Calc!E143))^2)^0.5))</f>
        <v>0.0010915252768065836</v>
      </c>
      <c r="H143" s="26">
        <f t="shared" si="50"/>
        <v>-5.4518301996006905E-05</v>
      </c>
      <c r="I143" s="22">
        <f>Val!$D$11*(1-COS(D143))+Val!$D$14+Val!$D$13+Val!$D$12*((1-COS(Calc!E143)))+Val!$D$15</f>
        <v>0.0017370069748105768</v>
      </c>
      <c r="J143" s="22">
        <f>Val!$D$11*((1-COS(Calc!$D143))+1/Val!$D$18*(1-(1-(Val!$D$18*SIN(Calc!$D143))^2)^0.5))+Val!$D$14+Val!$D$13+Val!$D$12*((1-COS(Calc!$E143))+1/Val!$D$19*(1-(1-(Val!$D$19*SIN(Calc!$E143))^2)^0.5))+Val!$D$15</f>
        <v>0.0017915252768065835</v>
      </c>
      <c r="K143" s="44">
        <f t="shared" si="51"/>
        <v>-5.451830199600669E-05</v>
      </c>
      <c r="L143" s="50">
        <f>Val!$D$42*Val!$D$22/Val!$D$37/(1-Val!$D$39*COS(D143-Val!$D$40))</f>
        <v>108755.95433013942</v>
      </c>
      <c r="M143" s="50">
        <f>Val!$D$42*Val!$D$22/(Val!$D$11*((1-COS(Calc!D143))+1/Val!$D$18*(1-(1-(Val!$D$18*SIN(Calc!D143))^2)^0.5))/Val!$D$25+Val!$D$14/Val!$D$25+Val!$D$13/Val!$D$27+Val!$D$12*((1-COS(Calc!E143))+1/Val!$D$19*(1-(1-(Val!$D$19*SIN(Calc!E143))^2)^0.5))/Val!$D$26+Val!$D$15/Val!$D$26)</f>
        <v>103983.35632716627</v>
      </c>
      <c r="N143" s="16">
        <f t="shared" si="44"/>
        <v>1.3329366255773476</v>
      </c>
      <c r="O143" s="16">
        <f t="shared" si="45"/>
        <v>1.2745665991950907</v>
      </c>
      <c r="P143" s="16">
        <f t="shared" si="46"/>
        <v>-1.2318164456242122E-05</v>
      </c>
      <c r="Q143" s="16">
        <f t="shared" si="47"/>
        <v>-1.2320949517282201E-05</v>
      </c>
      <c r="R143" s="13">
        <f t="shared" si="40"/>
        <v>0.7056353489604437</v>
      </c>
      <c r="S143" s="13">
        <f t="shared" si="41"/>
        <v>0.7277826642053224</v>
      </c>
      <c r="T143" s="13">
        <f t="shared" si="42"/>
        <v>0.6417028740898685</v>
      </c>
      <c r="U143" s="13">
        <f t="shared" si="43"/>
        <v>0.6135426701337096</v>
      </c>
      <c r="W143" s="387">
        <f>1*(M143-Val!$D$28)*PI()/4*Val!$D$2^2*(SIN(D143)+Val!$D$18/2*SIN(2*D143)/(1-Val!$D$18^2*SIN(D143)^2)^0.5)*Val!$D$4*(D143-D142)+1*(M143-Val!$D$28)*PI()/4*Val!$D$3^2*(SIN(E143)+Val!$D$19/2*SIN(2*E143)/(1-Val!$D$19^2*SIN(E143)^2)^0.5)*Val!$D$5*(E143-E142)</f>
        <v>0.033077251846914645</v>
      </c>
    </row>
    <row r="144" spans="2:23" ht="13.5">
      <c r="B144" s="32">
        <v>139</v>
      </c>
      <c r="C144" s="32">
        <f>B144-Data!$D$10</f>
        <v>49</v>
      </c>
      <c r="D144" s="30">
        <f t="shared" si="48"/>
        <v>2.426007660272118</v>
      </c>
      <c r="E144" s="30">
        <f t="shared" si="49"/>
        <v>0.8552113334772214</v>
      </c>
      <c r="F144" s="26">
        <f>Val!$D$11*(1-COS(D144))+Val!$D$12*(1-COS(E144))</f>
        <v>0.0010493251392668188</v>
      </c>
      <c r="G144" s="26">
        <f>Val!$D$11*((1-COS(Calc!D144))+1/Val!$D$18*(1-(1-(Val!$D$18*SIN(Calc!D144))^2)^0.5))+Val!$D$12*((1-COS(Calc!E144))+1/Val!$D$19*(1-(1-(Val!$D$19*SIN(Calc!E144))^2)^0.5))</f>
        <v>0.0011038462263238658</v>
      </c>
      <c r="H144" s="26">
        <f t="shared" si="50"/>
        <v>-5.4521087057046985E-05</v>
      </c>
      <c r="I144" s="22">
        <f>Val!$D$11*(1-COS(D144))+Val!$D$14+Val!$D$13+Val!$D$12*((1-COS(Calc!E144)))+Val!$D$15</f>
        <v>0.001749325139266819</v>
      </c>
      <c r="J144" s="22">
        <f>Val!$D$11*((1-COS(Calc!$D144))+1/Val!$D$18*(1-(1-(Val!$D$18*SIN(Calc!$D144))^2)^0.5))+Val!$D$14+Val!$D$13+Val!$D$12*((1-COS(Calc!$E144))+1/Val!$D$19*(1-(1-(Val!$D$19*SIN(Calc!$E144))^2)^0.5))+Val!$D$15</f>
        <v>0.001803846226323866</v>
      </c>
      <c r="K144" s="44">
        <f t="shared" si="51"/>
        <v>-5.4521087057046985E-05</v>
      </c>
      <c r="L144" s="50">
        <f>Val!$D$42*Val!$D$22/Val!$D$37/(1-Val!$D$39*COS(D144-Val!$D$40))</f>
        <v>107662.10540795633</v>
      </c>
      <c r="M144" s="50">
        <f>Val!$D$42*Val!$D$22/(Val!$D$11*((1-COS(Calc!D144))+1/Val!$D$18*(1-(1-(Val!$D$18*SIN(Calc!D144))^2)^0.5))/Val!$D$25+Val!$D$14/Val!$D$25+Val!$D$13/Val!$D$27+Val!$D$12*((1-COS(Calc!E144))+1/Val!$D$19*(1-(1-(Val!$D$19*SIN(Calc!E144))^2)^0.5))/Val!$D$26+Val!$D$15/Val!$D$26)</f>
        <v>102910.86029262826</v>
      </c>
      <c r="N144" s="16">
        <f t="shared" si="44"/>
        <v>1.3179411477024905</v>
      </c>
      <c r="O144" s="16">
        <f t="shared" si="45"/>
        <v>1.2599879270075727</v>
      </c>
      <c r="P144" s="16">
        <f t="shared" si="46"/>
        <v>-1.2303139501416895E-05</v>
      </c>
      <c r="Q144" s="16">
        <f t="shared" si="47"/>
        <v>-1.2306696989188492E-05</v>
      </c>
      <c r="R144" s="13">
        <f t="shared" si="40"/>
        <v>0.710639434954733</v>
      </c>
      <c r="S144" s="13">
        <f t="shared" si="41"/>
        <v>0.7327878815926042</v>
      </c>
      <c r="T144" s="13">
        <f t="shared" si="42"/>
        <v>0.6352487355417001</v>
      </c>
      <c r="U144" s="13">
        <f t="shared" si="43"/>
        <v>0.6072145220148134</v>
      </c>
      <c r="W144" s="387">
        <f>1*(M144-Val!$D$28)*PI()/4*Val!$D$2^2*(SIN(D144)+Val!$D$18/2*SIN(2*D144)/(1-Val!$D$18^2*SIN(D144)^2)^0.5)*Val!$D$4*(D144-D143)+1*(M144-Val!$D$28)*PI()/4*Val!$D$3^2*(SIN(E144)+Val!$D$19/2*SIN(2*E144)/(1-Val!$D$19^2*SIN(E144)^2)^0.5)*Val!$D$5*(E144-E143)</f>
        <v>0.01983685991290592</v>
      </c>
    </row>
    <row r="145" spans="2:23" ht="13.5">
      <c r="B145" s="32">
        <v>140</v>
      </c>
      <c r="C145" s="32">
        <f>B145-Data!$D$10</f>
        <v>50</v>
      </c>
      <c r="D145" s="30">
        <f t="shared" si="48"/>
        <v>2.443460952792061</v>
      </c>
      <c r="E145" s="30">
        <f t="shared" si="49"/>
        <v>0.8726646259971648</v>
      </c>
      <c r="F145" s="26">
        <f>Val!$D$11*(1-COS(D145))+Val!$D$12*(1-COS(E145))</f>
        <v>0.0010616282787682357</v>
      </c>
      <c r="G145" s="26">
        <f>Val!$D$11*((1-COS(Calc!D145))+1/Val!$D$18*(1-(1-(Val!$D$18*SIN(Calc!D145))^2)^0.5))+Val!$D$12*((1-COS(Calc!E145))+1/Val!$D$19*(1-(1-(Val!$D$19*SIN(Calc!E145))^2)^0.5))</f>
        <v>0.0011161529233130543</v>
      </c>
      <c r="H145" s="26">
        <f t="shared" si="50"/>
        <v>-5.452464454481858E-05</v>
      </c>
      <c r="I145" s="22">
        <f>Val!$D$11*(1-COS(D145))+Val!$D$14+Val!$D$13+Val!$D$12*((1-COS(Calc!E145)))+Val!$D$15</f>
        <v>0.0017616282787682356</v>
      </c>
      <c r="J145" s="22">
        <f>Val!$D$11*((1-COS(Calc!$D145))+1/Val!$D$18*(1-(1-(Val!$D$18*SIN(Calc!$D145))^2)^0.5))+Val!$D$14+Val!$D$13+Val!$D$12*((1-COS(Calc!$E145))+1/Val!$D$19*(1-(1-(Val!$D$19*SIN(Calc!$E145))^2)^0.5))+Val!$D$15</f>
        <v>0.0018161529233130542</v>
      </c>
      <c r="K145" s="44">
        <f t="shared" si="51"/>
        <v>-5.452464454481858E-05</v>
      </c>
      <c r="L145" s="50">
        <f>Val!$D$42*Val!$D$22/Val!$D$37/(1-Val!$D$39*COS(D145-Val!$D$40))</f>
        <v>106582.58352704805</v>
      </c>
      <c r="M145" s="50">
        <f>Val!$D$42*Val!$D$22/(Val!$D$11*((1-COS(Calc!D145))+1/Val!$D$18*(1-(1-(Val!$D$18*SIN(Calc!D145))^2)^0.5))/Val!$D$25+Val!$D$14/Val!$D$25+Val!$D$13/Val!$D$27+Val!$D$12*((1-COS(Calc!E145))+1/Val!$D$19*(1-(1-(Val!$D$19*SIN(Calc!E145))^2)^0.5))/Val!$D$26+Val!$D$15/Val!$D$26)</f>
        <v>101853.73708301233</v>
      </c>
      <c r="N145" s="16">
        <f t="shared" si="44"/>
        <v>1.3027576550193685</v>
      </c>
      <c r="O145" s="16">
        <f t="shared" si="45"/>
        <v>1.2452477260426729</v>
      </c>
      <c r="P145" s="16">
        <f t="shared" si="46"/>
        <v>-1.2284366891116873E-05</v>
      </c>
      <c r="Q145" s="16">
        <f t="shared" si="47"/>
        <v>-1.2288679482823145E-05</v>
      </c>
      <c r="R145" s="13">
        <f t="shared" si="40"/>
        <v>0.7156374172664264</v>
      </c>
      <c r="S145" s="13">
        <f t="shared" si="41"/>
        <v>0.737787309085095</v>
      </c>
      <c r="T145" s="13">
        <f t="shared" si="42"/>
        <v>0.6288791321679033</v>
      </c>
      <c r="U145" s="13">
        <f t="shared" si="43"/>
        <v>0.6009770796048243</v>
      </c>
      <c r="W145" s="387">
        <f>1*(M145-Val!$D$28)*PI()/4*Val!$D$2^2*(SIN(D145)+Val!$D$18/2*SIN(2*D145)/(1-Val!$D$18^2*SIN(D145)^2)^0.5)*Val!$D$4*(D145-D144)+1*(M145-Val!$D$28)*PI()/4*Val!$D$3^2*(SIN(E145)+Val!$D$19/2*SIN(2*E145)/(1-Val!$D$19^2*SIN(E145)^2)^0.5)*Val!$D$5*(E145-E144)</f>
        <v>0.006810033408204422</v>
      </c>
    </row>
    <row r="146" spans="2:23" ht="13.5">
      <c r="B146" s="32">
        <v>141</v>
      </c>
      <c r="C146" s="32">
        <f>B146-Data!$D$10</f>
        <v>51</v>
      </c>
      <c r="D146" s="30">
        <f t="shared" si="48"/>
        <v>2.4609142453120048</v>
      </c>
      <c r="E146" s="30">
        <f t="shared" si="49"/>
        <v>0.8901179185171081</v>
      </c>
      <c r="F146" s="26">
        <f>Val!$D$11*(1-COS(D146))+Val!$D$12*(1-COS(E146))</f>
        <v>0.0010739126456593526</v>
      </c>
      <c r="G146" s="26">
        <f>Val!$D$11*((1-COS(Calc!D146))+1/Val!$D$18*(1-(1-(Val!$D$18*SIN(Calc!D146))^2)^0.5))+Val!$D$12*((1-COS(Calc!E146))+1/Val!$D$19*(1-(1-(Val!$D$19*SIN(Calc!E146))^2)^0.5))</f>
        <v>0.0011284416027958774</v>
      </c>
      <c r="H146" s="26">
        <f t="shared" si="50"/>
        <v>-5.452895713652485E-05</v>
      </c>
      <c r="I146" s="22">
        <f>Val!$D$11*(1-COS(D146))+Val!$D$14+Val!$D$13+Val!$D$12*((1-COS(Calc!E146)))+Val!$D$15</f>
        <v>0.0017739126456593525</v>
      </c>
      <c r="J146" s="22">
        <f>Val!$D$11*((1-COS(Calc!$D146))+1/Val!$D$18*(1-(1-(Val!$D$18*SIN(Calc!$D146))^2)^0.5))+Val!$D$14+Val!$D$13+Val!$D$12*((1-COS(Calc!$E146))+1/Val!$D$19*(1-(1-(Val!$D$19*SIN(Calc!$E146))^2)^0.5))+Val!$D$15</f>
        <v>0.0018284416027958773</v>
      </c>
      <c r="K146" s="44">
        <f t="shared" si="51"/>
        <v>-5.452895713652485E-05</v>
      </c>
      <c r="L146" s="50">
        <f>Val!$D$42*Val!$D$22/Val!$D$37/(1-Val!$D$39*COS(D146-Val!$D$40))</f>
        <v>105517.50540165768</v>
      </c>
      <c r="M146" s="50">
        <f>Val!$D$42*Val!$D$22/(Val!$D$11*((1-COS(Calc!D146))+1/Val!$D$18*(1-(1-(Val!$D$18*SIN(Calc!D146))^2)^0.5))/Val!$D$25+Val!$D$14/Val!$D$25+Val!$D$13/Val!$D$27+Val!$D$12*((1-COS(Calc!E146))+1/Val!$D$19*(1-(1-(Val!$D$19*SIN(Calc!E146))^2)^0.5))/Val!$D$26+Val!$D$15/Val!$D$26)</f>
        <v>100812.09495911289</v>
      </c>
      <c r="N146" s="16">
        <f t="shared" si="44"/>
        <v>1.2873992957240439</v>
      </c>
      <c r="O146" s="16">
        <f t="shared" si="45"/>
        <v>1.2303584026368746</v>
      </c>
      <c r="P146" s="16">
        <f t="shared" si="46"/>
        <v>-1.22618523436598E-05</v>
      </c>
      <c r="Q146" s="16">
        <f t="shared" si="47"/>
        <v>-1.2266899039336393E-05</v>
      </c>
      <c r="R146" s="13">
        <f t="shared" si="40"/>
        <v>0.7206277734616953</v>
      </c>
      <c r="S146" s="13">
        <f t="shared" si="41"/>
        <v>0.7427794172118172</v>
      </c>
      <c r="T146" s="13">
        <f t="shared" si="42"/>
        <v>0.6225947526283837</v>
      </c>
      <c r="U146" s="13">
        <f t="shared" si="43"/>
        <v>0.5948309816849782</v>
      </c>
      <c r="W146" s="387">
        <f>1*(M146-Val!$D$28)*PI()/4*Val!$D$2^2*(SIN(D146)+Val!$D$18/2*SIN(2*D146)/(1-Val!$D$18^2*SIN(D146)^2)^0.5)*Val!$D$4*(D146-D145)+1*(M146-Val!$D$28)*PI()/4*Val!$D$3^2*(SIN(E146)+Val!$D$19/2*SIN(2*E146)/(1-Val!$D$19^2*SIN(E146)^2)^0.5)*Val!$D$5*(E146-E145)</f>
        <v>-0.005990701150935</v>
      </c>
    </row>
    <row r="147" spans="2:23" ht="13.5">
      <c r="B147" s="32">
        <v>142</v>
      </c>
      <c r="C147" s="32">
        <f>B147-Data!$D$10</f>
        <v>52</v>
      </c>
      <c r="D147" s="30">
        <f t="shared" si="48"/>
        <v>2.478367537831948</v>
      </c>
      <c r="E147" s="30">
        <f t="shared" si="49"/>
        <v>0.9075712110370514</v>
      </c>
      <c r="F147" s="26">
        <f>Val!$D$11*(1-COS(D147))+Val!$D$12*(1-COS(E147))</f>
        <v>0.0010861744980030124</v>
      </c>
      <c r="G147" s="26">
        <f>Val!$D$11*((1-COS(Calc!D147))+1/Val!$D$18*(1-(1-(Val!$D$18*SIN(Calc!D147))^2)^0.5))+Val!$D$12*((1-COS(Calc!E147))+1/Val!$D$19*(1-(1-(Val!$D$19*SIN(Calc!E147))^2)^0.5))</f>
        <v>0.0011407085018352138</v>
      </c>
      <c r="H147" s="26">
        <f t="shared" si="50"/>
        <v>-5.4534003832201446E-05</v>
      </c>
      <c r="I147" s="22">
        <f>Val!$D$11*(1-COS(D147))+Val!$D$14+Val!$D$13+Val!$D$12*((1-COS(Calc!E147)))+Val!$D$15</f>
        <v>0.0017861744980030123</v>
      </c>
      <c r="J147" s="22">
        <f>Val!$D$11*((1-COS(Calc!$D147))+1/Val!$D$18*(1-(1-(Val!$D$18*SIN(Calc!$D147))^2)^0.5))+Val!$D$14+Val!$D$13+Val!$D$12*((1-COS(Calc!$E147))+1/Val!$D$19*(1-(1-(Val!$D$19*SIN(Calc!$E147))^2)^0.5))+Val!$D$15</f>
        <v>0.001840708501835214</v>
      </c>
      <c r="K147" s="44">
        <f t="shared" si="51"/>
        <v>-5.453400383220166E-05</v>
      </c>
      <c r="L147" s="50">
        <f>Val!$D$42*Val!$D$22/Val!$D$37/(1-Val!$D$39*COS(D147-Val!$D$40))</f>
        <v>104466.96670621529</v>
      </c>
      <c r="M147" s="50">
        <f>Val!$D$42*Val!$D$22/(Val!$D$11*((1-COS(Calc!D147))+1/Val!$D$18*(1-(1-(Val!$D$18*SIN(Calc!D147))^2)^0.5))/Val!$D$25+Val!$D$14/Val!$D$25+Val!$D$13/Val!$D$27+Val!$D$12*((1-COS(Calc!E147))+1/Val!$D$19*(1-(1-(Val!$D$19*SIN(Calc!E147))^2)^0.5))/Val!$D$26+Val!$D$15/Val!$D$26)</f>
        <v>99786.0184991376</v>
      </c>
      <c r="N147" s="16">
        <f t="shared" si="44"/>
        <v>1.271878727930456</v>
      </c>
      <c r="O147" s="16">
        <f t="shared" si="45"/>
        <v>1.2153318386246998</v>
      </c>
      <c r="P147" s="16">
        <f t="shared" si="46"/>
        <v>-1.2235602717196228E-05</v>
      </c>
      <c r="Q147" s="16">
        <f t="shared" si="47"/>
        <v>-1.2241358941816665E-05</v>
      </c>
      <c r="R147" s="13">
        <f t="shared" si="40"/>
        <v>0.7256089834296998</v>
      </c>
      <c r="S147" s="13">
        <f t="shared" si="41"/>
        <v>0.7477626773309821</v>
      </c>
      <c r="T147" s="13">
        <f t="shared" si="42"/>
        <v>0.6163961614398811</v>
      </c>
      <c r="U147" s="13">
        <f t="shared" si="43"/>
        <v>0.5887767272999415</v>
      </c>
      <c r="W147" s="387">
        <f>1*(M147-Val!$D$28)*PI()/4*Val!$D$2^2*(SIN(D147)+Val!$D$18/2*SIN(2*D147)/(1-Val!$D$18^2*SIN(D147)^2)^0.5)*Val!$D$4*(D147-D146)+1*(M147-Val!$D$28)*PI()/4*Val!$D$3^2*(SIN(E147)+Val!$D$19/2*SIN(2*E147)/(1-Val!$D$19^2*SIN(E147)^2)^0.5)*Val!$D$5*(E147-E146)</f>
        <v>-0.018553472766347938</v>
      </c>
    </row>
    <row r="148" spans="2:23" ht="13.5">
      <c r="B148" s="32">
        <v>143</v>
      </c>
      <c r="C148" s="32">
        <f>B148-Data!$D$10</f>
        <v>53</v>
      </c>
      <c r="D148" s="30">
        <f t="shared" si="48"/>
        <v>2.4958208303518914</v>
      </c>
      <c r="E148" s="30">
        <f t="shared" si="49"/>
        <v>0.9250245035569946</v>
      </c>
      <c r="F148" s="26">
        <f>Val!$D$11*(1-COS(D148))+Val!$D$12*(1-COS(E148))</f>
        <v>0.0010984101007202086</v>
      </c>
      <c r="G148" s="26">
        <f>Val!$D$11*((1-COS(Calc!D148))+1/Val!$D$18*(1-(1-(Val!$D$18*SIN(Calc!D148))^2)^0.5))+Val!$D$12*((1-COS(Calc!E148))+1/Val!$D$19*(1-(1-(Val!$D$19*SIN(Calc!E148))^2)^0.5))</f>
        <v>0.0011529498607770305</v>
      </c>
      <c r="H148" s="26">
        <f t="shared" si="50"/>
        <v>-5.4539760056821884E-05</v>
      </c>
      <c r="I148" s="22">
        <f>Val!$D$11*(1-COS(D148))+Val!$D$14+Val!$D$13+Val!$D$12*((1-COS(Calc!E148)))+Val!$D$15</f>
        <v>0.0017984101007202085</v>
      </c>
      <c r="J148" s="22">
        <f>Val!$D$11*((1-COS(Calc!$D148))+1/Val!$D$18*(1-(1-(Val!$D$18*SIN(Calc!$D148))^2)^0.5))+Val!$D$14+Val!$D$13+Val!$D$12*((1-COS(Calc!$E148))+1/Val!$D$19*(1-(1-(Val!$D$19*SIN(Calc!$E148))^2)^0.5))+Val!$D$15</f>
        <v>0.0018529498607770304</v>
      </c>
      <c r="K148" s="44">
        <f t="shared" si="51"/>
        <v>-5.4539760056821884E-05</v>
      </c>
      <c r="L148" s="50">
        <f>Val!$D$42*Val!$D$22/Val!$D$37/(1-Val!$D$39*COS(D148-Val!$D$40))</f>
        <v>103431.04327786584</v>
      </c>
      <c r="M148" s="50">
        <f>Val!$D$42*Val!$D$22/(Val!$D$11*((1-COS(Calc!D148))+1/Val!$D$18*(1-(1-(Val!$D$18*SIN(Calc!D148))^2)^0.5))/Val!$D$25+Val!$D$14/Val!$D$25+Val!$D$13/Val!$D$27+Val!$D$12*((1-COS(Calc!E148))+1/Val!$D$19*(1-(1-(Val!$D$19*SIN(Calc!E148))^2)^0.5))/Val!$D$26+Val!$D$15/Val!$D$26)</f>
        <v>98775.57003056878</v>
      </c>
      <c r="N148" s="16">
        <f t="shared" si="44"/>
        <v>1.2562081279655288</v>
      </c>
      <c r="O148" s="16">
        <f t="shared" si="45"/>
        <v>1.2001794038650542</v>
      </c>
      <c r="P148" s="16">
        <f t="shared" si="46"/>
        <v>-1.2205626007615695E-05</v>
      </c>
      <c r="Q148" s="16">
        <f t="shared" si="47"/>
        <v>-1.2212063730583471E-05</v>
      </c>
      <c r="R148" s="13">
        <f t="shared" si="40"/>
        <v>0.7305795298456298</v>
      </c>
      <c r="S148" s="13">
        <f t="shared" si="41"/>
        <v>0.7527355621345106</v>
      </c>
      <c r="T148" s="13">
        <f t="shared" si="42"/>
        <v>0.6102838060713562</v>
      </c>
      <c r="U148" s="13">
        <f t="shared" si="43"/>
        <v>0.5828146842063558</v>
      </c>
      <c r="W148" s="387">
        <f>1*(M148-Val!$D$28)*PI()/4*Val!$D$2^2*(SIN(D148)+Val!$D$18/2*SIN(2*D148)/(1-Val!$D$18^2*SIN(D148)^2)^0.5)*Val!$D$4*(D148-D147)+1*(M148-Val!$D$28)*PI()/4*Val!$D$3^2*(SIN(E148)+Val!$D$19/2*SIN(2*E148)/(1-Val!$D$19^2*SIN(E148)^2)^0.5)*Val!$D$5*(E148-E147)</f>
        <v>-0.03086705532988617</v>
      </c>
    </row>
    <row r="149" spans="2:23" ht="13.5">
      <c r="B149" s="32">
        <v>144</v>
      </c>
      <c r="C149" s="32">
        <f>B149-Data!$D$10</f>
        <v>54</v>
      </c>
      <c r="D149" s="30">
        <f t="shared" si="48"/>
        <v>2.5132741228718345</v>
      </c>
      <c r="E149" s="30">
        <f t="shared" si="49"/>
        <v>0.9424777960769379</v>
      </c>
      <c r="F149" s="26">
        <f>Val!$D$11*(1-COS(D149))+Val!$D$12*(1-COS(E149))</f>
        <v>0.0011106157267278243</v>
      </c>
      <c r="G149" s="26">
        <f>Val!$D$11*((1-COS(Calc!D149))+1/Val!$D$18*(1-(1-(Val!$D$18*SIN(Calc!D149))^2)^0.5))+Val!$D$12*((1-COS(Calc!E149))+1/Val!$D$19*(1-(1-(Val!$D$19*SIN(Calc!E149))^2)^0.5))</f>
        <v>0.001165161924507614</v>
      </c>
      <c r="H149" s="26">
        <f t="shared" si="50"/>
        <v>-5.454619777978966E-05</v>
      </c>
      <c r="I149" s="22">
        <f>Val!$D$11*(1-COS(D149))+Val!$D$14+Val!$D$13+Val!$D$12*((1-COS(Calc!E149)))+Val!$D$15</f>
        <v>0.0018106157267278244</v>
      </c>
      <c r="J149" s="22">
        <f>Val!$D$11*((1-COS(Calc!$D149))+1/Val!$D$18*(1-(1-(Val!$D$18*SIN(Calc!$D149))^2)^0.5))+Val!$D$14+Val!$D$13+Val!$D$12*((1-COS(Calc!$E149))+1/Val!$D$19*(1-(1-(Val!$D$19*SIN(Calc!$E149))^2)^0.5))+Val!$D$15</f>
        <v>0.001865161924507614</v>
      </c>
      <c r="K149" s="44">
        <f t="shared" si="51"/>
        <v>-5.454619777978966E-05</v>
      </c>
      <c r="L149" s="50">
        <f>Val!$D$42*Val!$D$22/Val!$D$37/(1-Val!$D$39*COS(D149-Val!$D$40))</f>
        <v>102409.79228135842</v>
      </c>
      <c r="M149" s="50">
        <f>Val!$D$42*Val!$D$22/(Val!$D$11*((1-COS(Calc!D149))+1/Val!$D$18*(1-(1-(Val!$D$18*SIN(Calc!D149))^2)^0.5))/Val!$D$25+Val!$D$14/Val!$D$25+Val!$D$13/Val!$D$27+Val!$D$12*((1-COS(Calc!E149))+1/Val!$D$19*(1-(1-(Val!$D$19*SIN(Calc!E149))^2)^0.5))/Val!$D$26+Val!$D$15/Val!$D$26)</f>
        <v>97780.7910141816</v>
      </c>
      <c r="N149" s="16">
        <f t="shared" si="44"/>
        <v>1.2403991993439696</v>
      </c>
      <c r="O149" s="16">
        <f t="shared" si="45"/>
        <v>1.1849119693085508</v>
      </c>
      <c r="P149" s="16">
        <f t="shared" si="46"/>
        <v>-1.2171931346115087E-05</v>
      </c>
      <c r="Q149" s="16">
        <f t="shared" si="47"/>
        <v>-1.2179019217572378E-05</v>
      </c>
      <c r="R149" s="13">
        <f t="shared" si="40"/>
        <v>0.7355378986328962</v>
      </c>
      <c r="S149" s="13">
        <f t="shared" si="41"/>
        <v>0.7576965461587672</v>
      </c>
      <c r="T149" s="13">
        <f t="shared" si="42"/>
        <v>0.6042580238172959</v>
      </c>
      <c r="U149" s="13">
        <f t="shared" si="43"/>
        <v>0.5769450970390899</v>
      </c>
      <c r="W149" s="387">
        <f>1*(M149-Val!$D$28)*PI()/4*Val!$D$2^2*(SIN(D149)+Val!$D$18/2*SIN(2*D149)/(1-Val!$D$18^2*SIN(D149)^2)^0.5)*Val!$D$4*(D149-D148)+1*(M149-Val!$D$28)*PI()/4*Val!$D$3^2*(SIN(E149)+Val!$D$19/2*SIN(2*E149)/(1-Val!$D$19^2*SIN(E149)^2)^0.5)*Val!$D$5*(E149-E148)</f>
        <v>-0.04292085630877289</v>
      </c>
    </row>
    <row r="150" spans="2:23" ht="13.5">
      <c r="B150" s="32">
        <v>145</v>
      </c>
      <c r="C150" s="32">
        <f>B150-Data!$D$10</f>
        <v>55</v>
      </c>
      <c r="D150" s="30">
        <f t="shared" si="48"/>
        <v>2.530727415391778</v>
      </c>
      <c r="E150" s="30">
        <f t="shared" si="49"/>
        <v>0.9599310885968813</v>
      </c>
      <c r="F150" s="26">
        <f>Val!$D$11*(1-COS(D150))+Val!$D$12*(1-COS(E150))</f>
        <v>0.0011227876580739394</v>
      </c>
      <c r="G150" s="26">
        <f>Val!$D$11*((1-COS(Calc!D150))+1/Val!$D$18*(1-(1-(Val!$D$18*SIN(Calc!D150))^2)^0.5))+Val!$D$12*((1-COS(Calc!E150))+1/Val!$D$19*(1-(1-(Val!$D$19*SIN(Calc!E150))^2)^0.5))</f>
        <v>0.0011773409437251863</v>
      </c>
      <c r="H150" s="26">
        <f t="shared" si="50"/>
        <v>-5.455328565124695E-05</v>
      </c>
      <c r="I150" s="22">
        <f>Val!$D$11*(1-COS(D150))+Val!$D$14+Val!$D$13+Val!$D$12*((1-COS(Calc!E150)))+Val!$D$15</f>
        <v>0.0018227876580739393</v>
      </c>
      <c r="J150" s="22">
        <f>Val!$D$11*((1-COS(Calc!$D150))+1/Val!$D$18*(1-(1-(Val!$D$18*SIN(Calc!$D150))^2)^0.5))+Val!$D$14+Val!$D$13+Val!$D$12*((1-COS(Calc!$E150))+1/Val!$D$19*(1-(1-(Val!$D$19*SIN(Calc!$E150))^2)^0.5))+Val!$D$15</f>
        <v>0.0018773409437251862</v>
      </c>
      <c r="K150" s="44">
        <f t="shared" si="51"/>
        <v>-5.455328565124695E-05</v>
      </c>
      <c r="L150" s="50">
        <f>Val!$D$42*Val!$D$22/Val!$D$37/(1-Val!$D$39*COS(D150-Val!$D$40))</f>
        <v>101403.2533352503</v>
      </c>
      <c r="M150" s="50">
        <f>Val!$D$42*Val!$D$22/(Val!$D$11*((1-COS(Calc!D150))+1/Val!$D$18*(1-(1-(Val!$D$18*SIN(Calc!D150))^2)^0.5))/Val!$D$25+Val!$D$14/Val!$D$25+Val!$D$13/Val!$D$27+Val!$D$12*((1-COS(Calc!E150))+1/Val!$D$19*(1-(1-(Val!$D$19*SIN(Calc!E150))^2)^0.5))/Val!$D$26+Val!$D$15/Val!$D$26)</f>
        <v>96801.70337895202</v>
      </c>
      <c r="N150" s="16">
        <f t="shared" si="44"/>
        <v>1.224463182327209</v>
      </c>
      <c r="O150" s="16">
        <f t="shared" si="45"/>
        <v>1.169539920495653</v>
      </c>
      <c r="P150" s="16">
        <f t="shared" si="46"/>
        <v>-1.2134528996413747E-05</v>
      </c>
      <c r="Q150" s="16">
        <f t="shared" si="47"/>
        <v>-1.214223249970019E-05</v>
      </c>
      <c r="R150" s="13">
        <f t="shared" si="40"/>
        <v>0.7404825794243334</v>
      </c>
      <c r="S150" s="13">
        <f t="shared" si="41"/>
        <v>0.762644106301135</v>
      </c>
      <c r="T150" s="13">
        <f t="shared" si="42"/>
        <v>0.5983190484427588</v>
      </c>
      <c r="U150" s="13">
        <f t="shared" si="43"/>
        <v>0.5711680951877204</v>
      </c>
      <c r="W150" s="387">
        <f>1*(M150-Val!$D$28)*PI()/4*Val!$D$2^2*(SIN(D150)+Val!$D$18/2*SIN(2*D150)/(1-Val!$D$18^2*SIN(D150)^2)^0.5)*Val!$D$4*(D150-D149)+1*(M150-Val!$D$28)*PI()/4*Val!$D$3^2*(SIN(E150)+Val!$D$19/2*SIN(2*E150)/(1-Val!$D$19^2*SIN(E150)^2)^0.5)*Val!$D$5*(E150-E149)</f>
        <v>-0.054704904849740554</v>
      </c>
    </row>
    <row r="151" spans="2:23" ht="13.5">
      <c r="B151" s="32">
        <v>146</v>
      </c>
      <c r="C151" s="32">
        <f>B151-Data!$D$10</f>
        <v>56</v>
      </c>
      <c r="D151" s="30">
        <f t="shared" si="48"/>
        <v>2.548180707911721</v>
      </c>
      <c r="E151" s="30">
        <f t="shared" si="49"/>
        <v>0.9773843811168246</v>
      </c>
      <c r="F151" s="26">
        <f>Val!$D$11*(1-COS(D151))+Val!$D$12*(1-COS(E151))</f>
        <v>0.0011349221870703531</v>
      </c>
      <c r="G151" s="26">
        <f>Val!$D$11*((1-COS(Calc!D151))+1/Val!$D$18*(1-(1-(Val!$D$18*SIN(Calc!D151))^2)^0.5))+Val!$D$12*((1-COS(Calc!E151))+1/Val!$D$19*(1-(1-(Val!$D$19*SIN(Calc!E151))^2)^0.5))</f>
        <v>0.0011894831762248865</v>
      </c>
      <c r="H151" s="26">
        <f t="shared" si="50"/>
        <v>-5.4560989154533394E-05</v>
      </c>
      <c r="I151" s="22">
        <f>Val!$D$11*(1-COS(D151))+Val!$D$14+Val!$D$13+Val!$D$12*((1-COS(Calc!E151)))+Val!$D$15</f>
        <v>0.001834922187070353</v>
      </c>
      <c r="J151" s="22">
        <f>Val!$D$11*((1-COS(Calc!$D151))+1/Val!$D$18*(1-(1-(Val!$D$18*SIN(Calc!$D151))^2)^0.5))+Val!$D$14+Val!$D$13+Val!$D$12*((1-COS(Calc!$E151))+1/Val!$D$19*(1-(1-(Val!$D$19*SIN(Calc!$E151))^2)^0.5))+Val!$D$15</f>
        <v>0.0018894831762248866</v>
      </c>
      <c r="K151" s="44">
        <f t="shared" si="51"/>
        <v>-5.456098915453361E-05</v>
      </c>
      <c r="L151" s="50">
        <f>Val!$D$42*Val!$D$22/Val!$D$37/(1-Val!$D$39*COS(D151-Val!$D$40))</f>
        <v>100411.44959868117</v>
      </c>
      <c r="M151" s="50">
        <f>Val!$D$42*Val!$D$22/(Val!$D$11*((1-COS(Calc!D151))+1/Val!$D$18*(1-(1-(Val!$D$18*SIN(Calc!D151))^2)^0.5))/Val!$D$25+Val!$D$14/Val!$D$25+Val!$D$13/Val!$D$27+Val!$D$12*((1-COS(Calc!E151))+1/Val!$D$19*(1-(1-(Val!$D$19*SIN(Calc!E151))^2)^0.5))/Val!$D$26+Val!$D$15/Val!$D$26)</f>
        <v>95838.31080699108</v>
      </c>
      <c r="N151" s="16">
        <f t="shared" si="44"/>
        <v>1.2084108639791484</v>
      </c>
      <c r="O151" s="16">
        <f t="shared" si="45"/>
        <v>1.154073171385797</v>
      </c>
      <c r="P151" s="16">
        <f t="shared" si="46"/>
        <v>-1.2093430351630546E-05</v>
      </c>
      <c r="Q151" s="16">
        <f t="shared" si="47"/>
        <v>-1.210171197115785E-05</v>
      </c>
      <c r="R151" s="13">
        <f t="shared" si="40"/>
        <v>0.7454120660222723</v>
      </c>
      <c r="S151" s="13">
        <f t="shared" si="41"/>
        <v>0.7675767223420229</v>
      </c>
      <c r="T151" s="13">
        <f t="shared" si="42"/>
        <v>0.5924670165957715</v>
      </c>
      <c r="U151" s="13">
        <f t="shared" si="43"/>
        <v>0.5654837003781495</v>
      </c>
      <c r="W151" s="387">
        <f>1*(M151-Val!$D$28)*PI()/4*Val!$D$2^2*(SIN(D151)+Val!$D$18/2*SIN(2*D151)/(1-Val!$D$18^2*SIN(D151)^2)^0.5)*Val!$D$4*(D151-D150)+1*(M151-Val!$D$28)*PI()/4*Val!$D$3^2*(SIN(E151)+Val!$D$19/2*SIN(2*E151)/(1-Val!$D$19^2*SIN(E151)^2)^0.5)*Val!$D$5*(E151-E150)</f>
        <v>-0.06620983939820255</v>
      </c>
    </row>
    <row r="152" spans="2:23" ht="13.5">
      <c r="B152" s="32">
        <v>147</v>
      </c>
      <c r="C152" s="32">
        <f>B152-Data!$D$10</f>
        <v>57</v>
      </c>
      <c r="D152" s="30">
        <f t="shared" si="48"/>
        <v>2.5656340004316642</v>
      </c>
      <c r="E152" s="30">
        <f t="shared" si="49"/>
        <v>0.9948376736367679</v>
      </c>
      <c r="F152" s="26">
        <f>Val!$D$11*(1-COS(D152))+Val!$D$12*(1-COS(E152))</f>
        <v>0.0011470156174219837</v>
      </c>
      <c r="G152" s="26">
        <f>Val!$D$11*((1-COS(Calc!D152))+1/Val!$D$18*(1-(1-(Val!$D$18*SIN(Calc!D152))^2)^0.5))+Val!$D$12*((1-COS(Calc!E152))+1/Val!$D$19*(1-(1-(Val!$D$19*SIN(Calc!E152))^2)^0.5))</f>
        <v>0.0012015848881960444</v>
      </c>
      <c r="H152" s="26">
        <f t="shared" si="50"/>
        <v>-5.45692707740607E-05</v>
      </c>
      <c r="I152" s="22">
        <f>Val!$D$11*(1-COS(D152))+Val!$D$14+Val!$D$13+Val!$D$12*((1-COS(Calc!E152)))+Val!$D$15</f>
        <v>0.0018470156174219838</v>
      </c>
      <c r="J152" s="22">
        <f>Val!$D$11*((1-COS(Calc!$D152))+1/Val!$D$18*(1-(1-(Val!$D$18*SIN(Calc!$D152))^2)^0.5))+Val!$D$14+Val!$D$13+Val!$D$12*((1-COS(Calc!$E152))+1/Val!$D$19*(1-(1-(Val!$D$19*SIN(Calc!$E152))^2)^0.5))+Val!$D$15</f>
        <v>0.0019015848881960443</v>
      </c>
      <c r="K152" s="44">
        <f t="shared" si="51"/>
        <v>-5.456927077406048E-05</v>
      </c>
      <c r="L152" s="50">
        <f>Val!$D$42*Val!$D$22/Val!$D$37/(1-Val!$D$39*COS(D152-Val!$D$40))</f>
        <v>99434.38881824045</v>
      </c>
      <c r="M152" s="50">
        <f>Val!$D$42*Val!$D$22/(Val!$D$11*((1-COS(Calc!D152))+1/Val!$D$18*(1-(1-(Val!$D$18*SIN(Calc!D152))^2)^0.5))/Val!$D$25+Val!$D$14/Val!$D$25+Val!$D$13/Val!$D$27+Val!$D$12*((1-COS(Calc!E152))+1/Val!$D$19*(1-(1-(Val!$D$19*SIN(Calc!E152))^2)^0.5))/Val!$D$26+Val!$D$15/Val!$D$26)</f>
        <v>94890.59996800237</v>
      </c>
      <c r="N152" s="16">
        <f t="shared" si="44"/>
        <v>1.1922525886375843</v>
      </c>
      <c r="O152" s="16">
        <f t="shared" si="45"/>
        <v>1.138521178427515</v>
      </c>
      <c r="P152" s="16">
        <f t="shared" si="46"/>
        <v>-1.2048647930810747E-05</v>
      </c>
      <c r="Q152" s="16">
        <f t="shared" si="47"/>
        <v>-1.2057467334539987E-05</v>
      </c>
      <c r="R152" s="13">
        <f t="shared" si="40"/>
        <v>0.7503248568573421</v>
      </c>
      <c r="S152" s="13">
        <f t="shared" si="41"/>
        <v>0.7724928774718651</v>
      </c>
      <c r="T152" s="13">
        <f t="shared" si="42"/>
        <v>0.5867019739842558</v>
      </c>
      <c r="U152" s="13">
        <f t="shared" si="43"/>
        <v>0.5598918339563895</v>
      </c>
      <c r="W152" s="387">
        <f>1*(M152-Val!$D$28)*PI()/4*Val!$D$2^2*(SIN(D152)+Val!$D$18/2*SIN(2*D152)/(1-Val!$D$18^2*SIN(D152)^2)^0.5)*Val!$D$4*(D152-D151)+1*(M152-Val!$D$28)*PI()/4*Val!$D$3^2*(SIN(E152)+Val!$D$19/2*SIN(2*E152)/(1-Val!$D$19^2*SIN(E152)^2)^0.5)*Val!$D$5*(E152-E151)</f>
        <v>-0.07742689492007283</v>
      </c>
    </row>
    <row r="153" spans="2:23" ht="13.5">
      <c r="B153" s="32">
        <v>148</v>
      </c>
      <c r="C153" s="32">
        <f>B153-Data!$D$10</f>
        <v>58</v>
      </c>
      <c r="D153" s="30">
        <f t="shared" si="48"/>
        <v>2.5830872929516078</v>
      </c>
      <c r="E153" s="30">
        <f t="shared" si="49"/>
        <v>1.0122909661567112</v>
      </c>
      <c r="F153" s="26">
        <f>Val!$D$11*(1-COS(D153))+Val!$D$12*(1-COS(E153))</f>
        <v>0.0011590642653527944</v>
      </c>
      <c r="G153" s="26">
        <f>Val!$D$11*((1-COS(Calc!D153))+1/Val!$D$18*(1-(1-(Val!$D$18*SIN(Calc!D153))^2)^0.5))+Val!$D$12*((1-COS(Calc!E153))+1/Val!$D$19*(1-(1-(Val!$D$19*SIN(Calc!E153))^2)^0.5))</f>
        <v>0.0012136423555305844</v>
      </c>
      <c r="H153" s="26">
        <f t="shared" si="50"/>
        <v>-5.4578090177789937E-05</v>
      </c>
      <c r="I153" s="22">
        <f>Val!$D$11*(1-COS(D153))+Val!$D$14+Val!$D$13+Val!$D$12*((1-COS(Calc!E153)))+Val!$D$15</f>
        <v>0.0018590642653527943</v>
      </c>
      <c r="J153" s="22">
        <f>Val!$D$11*((1-COS(Calc!$D153))+1/Val!$D$18*(1-(1-(Val!$D$18*SIN(Calc!$D153))^2)^0.5))+Val!$D$14+Val!$D$13+Val!$D$12*((1-COS(Calc!$E153))+1/Val!$D$19*(1-(1-(Val!$D$19*SIN(Calc!$E153))^2)^0.5))+Val!$D$15</f>
        <v>0.0019136423555305843</v>
      </c>
      <c r="K153" s="44">
        <f t="shared" si="51"/>
        <v>-5.4578090177789937E-05</v>
      </c>
      <c r="L153" s="50">
        <f>Val!$D$42*Val!$D$22/Val!$D$37/(1-Val!$D$39*COS(D153-Val!$D$40))</f>
        <v>98472.06433469517</v>
      </c>
      <c r="M153" s="50">
        <f>Val!$D$42*Val!$D$22/(Val!$D$11*((1-COS(Calc!D153))+1/Val!$D$18*(1-(1-(Val!$D$18*SIN(Calc!D153))^2)^0.5))/Val!$D$25+Val!$D$14/Val!$D$25+Val!$D$13/Val!$D$27+Val!$D$12*((1-COS(Calc!E153))+1/Val!$D$19*(1-(1-(Val!$D$19*SIN(Calc!E153))^2)^0.5))/Val!$D$26+Val!$D$15/Val!$D$26)</f>
        <v>93958.54170308333</v>
      </c>
      <c r="N153" s="16">
        <f t="shared" si="44"/>
        <v>1.1759982687267043</v>
      </c>
      <c r="O153" s="16">
        <f t="shared" si="45"/>
        <v>1.122892954785842</v>
      </c>
      <c r="P153" s="16">
        <f t="shared" si="46"/>
        <v>-1.2000195375113081E-05</v>
      </c>
      <c r="Q153" s="16">
        <f t="shared" si="47"/>
        <v>-1.2009509610755179E-05</v>
      </c>
      <c r="R153" s="13">
        <f t="shared" si="40"/>
        <v>0.7552194554458631</v>
      </c>
      <c r="S153" s="13">
        <f t="shared" si="41"/>
        <v>0.7773910588226424</v>
      </c>
      <c r="T153" s="13">
        <f t="shared" si="42"/>
        <v>0.5810238813161203</v>
      </c>
      <c r="U153" s="13">
        <f t="shared" si="43"/>
        <v>0.554392323873455</v>
      </c>
      <c r="W153" s="387">
        <f>1*(M153-Val!$D$28)*PI()/4*Val!$D$2^2*(SIN(D153)+Val!$D$18/2*SIN(2*D153)/(1-Val!$D$18^2*SIN(D153)^2)^0.5)*Val!$D$4*(D153-D152)+1*(M153-Val!$D$28)*PI()/4*Val!$D$3^2*(SIN(E153)+Val!$D$19/2*SIN(2*E153)/(1-Val!$D$19^2*SIN(E153)^2)^0.5)*Val!$D$5*(E153-E152)</f>
        <v>-0.08834788980555511</v>
      </c>
    </row>
    <row r="154" spans="2:23" ht="13.5">
      <c r="B154" s="32">
        <v>149</v>
      </c>
      <c r="C154" s="32">
        <f>B154-Data!$D$10</f>
        <v>59</v>
      </c>
      <c r="D154" s="30">
        <f t="shared" si="48"/>
        <v>2.600540585471551</v>
      </c>
      <c r="E154" s="30">
        <f t="shared" si="49"/>
        <v>1.0297442586766545</v>
      </c>
      <c r="F154" s="26">
        <f>Val!$D$11*(1-COS(D154))+Val!$D$12*(1-COS(E154))</f>
        <v>0.0011710644607279075</v>
      </c>
      <c r="G154" s="26">
        <f>Val!$D$11*((1-COS(Calc!D154))+1/Val!$D$18*(1-(1-(Val!$D$18*SIN(Calc!D154))^2)^0.5))+Val!$D$12*((1-COS(Calc!E154))+1/Val!$D$19*(1-(1-(Val!$D$19*SIN(Calc!E154))^2)^0.5))</f>
        <v>0.0012256518651413396</v>
      </c>
      <c r="H154" s="26">
        <f t="shared" si="50"/>
        <v>-5.4587404413432034E-05</v>
      </c>
      <c r="I154" s="22">
        <f>Val!$D$11*(1-COS(D154))+Val!$D$14+Val!$D$13+Val!$D$12*((1-COS(Calc!E154)))+Val!$D$15</f>
        <v>0.0018710644607279074</v>
      </c>
      <c r="J154" s="22">
        <f>Val!$D$11*((1-COS(Calc!$D154))+1/Val!$D$18*(1-(1-(Val!$D$18*SIN(Calc!$D154))^2)^0.5))+Val!$D$14+Val!$D$13+Val!$D$12*((1-COS(Calc!$E154))+1/Val!$D$19*(1-(1-(Val!$D$19*SIN(Calc!$E154))^2)^0.5))+Val!$D$15</f>
        <v>0.0019256518651413394</v>
      </c>
      <c r="K154" s="44">
        <f t="shared" si="51"/>
        <v>-5.4587404413432034E-05</v>
      </c>
      <c r="L154" s="50">
        <f>Val!$D$42*Val!$D$22/Val!$D$37/(1-Val!$D$39*COS(D154-Val!$D$40))</f>
        <v>97524.4560495611</v>
      </c>
      <c r="M154" s="50">
        <f>Val!$D$42*Val!$D$22/(Val!$D$11*((1-COS(Calc!D154))+1/Val!$D$18*(1-(1-(Val!$D$18*SIN(Calc!D154))^2)^0.5))/Val!$D$25+Val!$D$14/Val!$D$25+Val!$D$13/Val!$D$27+Val!$D$12*((1-COS(Calc!E154))+1/Val!$D$19*(1-(1-(Val!$D$19*SIN(Calc!E154))^2)^0.5))/Val!$D$26+Val!$D$15/Val!$D$26)</f>
        <v>93042.09215797446</v>
      </c>
      <c r="N154" s="16">
        <f t="shared" si="44"/>
        <v>1.1596573958408922</v>
      </c>
      <c r="O154" s="16">
        <f t="shared" si="45"/>
        <v>1.1071970846531864</v>
      </c>
      <c r="P154" s="16">
        <f t="shared" si="46"/>
        <v>-1.1948087443655955E-05</v>
      </c>
      <c r="Q154" s="16">
        <f t="shared" si="47"/>
        <v>-1.1957851147637337E-05</v>
      </c>
      <c r="R154" s="13">
        <f t="shared" si="40"/>
        <v>0.7600943708456903</v>
      </c>
      <c r="S154" s="13">
        <f t="shared" si="41"/>
        <v>0.782269758003429</v>
      </c>
      <c r="T154" s="13">
        <f t="shared" si="42"/>
        <v>0.5754326200024086</v>
      </c>
      <c r="U154" s="13">
        <f t="shared" si="43"/>
        <v>0.5489849113719794</v>
      </c>
      <c r="W154" s="387">
        <f>1*(M154-Val!$D$28)*PI()/4*Val!$D$2^2*(SIN(D154)+Val!$D$18/2*SIN(2*D154)/(1-Val!$D$18^2*SIN(D154)^2)^0.5)*Val!$D$4*(D154-D153)+1*(M154-Val!$D$28)*PI()/4*Val!$D$3^2*(SIN(E154)+Val!$D$19/2*SIN(2*E154)/(1-Val!$D$19^2*SIN(E154)^2)^0.5)*Val!$D$5*(E154-E153)</f>
        <v>-0.09896521252648818</v>
      </c>
    </row>
    <row r="155" spans="2:23" ht="13.5">
      <c r="B155" s="32">
        <v>150</v>
      </c>
      <c r="C155" s="32">
        <f>B155-Data!$D$10</f>
        <v>60</v>
      </c>
      <c r="D155" s="30">
        <f t="shared" si="48"/>
        <v>2.6179938779914944</v>
      </c>
      <c r="E155" s="30">
        <f t="shared" si="49"/>
        <v>1.0471975511965976</v>
      </c>
      <c r="F155" s="26">
        <f>Val!$D$11*(1-COS(D155))+Val!$D$12*(1-COS(E155))</f>
        <v>0.0011830125481715635</v>
      </c>
      <c r="G155" s="26">
        <f>Val!$D$11*((1-COS(Calc!D155))+1/Val!$D$18*(1-(1-(Val!$D$18*SIN(Calc!D155))^2)^0.5))+Val!$D$12*((1-COS(Calc!E155))+1/Val!$D$19*(1-(1-(Val!$D$19*SIN(Calc!E155))^2)^0.5))</f>
        <v>0.0012376097162889769</v>
      </c>
      <c r="H155" s="26">
        <f t="shared" si="50"/>
        <v>-5.4597168117413416E-05</v>
      </c>
      <c r="I155" s="22">
        <f>Val!$D$11*(1-COS(D155))+Val!$D$14+Val!$D$13+Val!$D$12*((1-COS(Calc!E155)))+Val!$D$15</f>
        <v>0.0018830125481715634</v>
      </c>
      <c r="J155" s="22">
        <f>Val!$D$11*((1-COS(Calc!$D155))+1/Val!$D$18*(1-(1-(Val!$D$18*SIN(Calc!$D155))^2)^0.5))+Val!$D$14+Val!$D$13+Val!$D$12*((1-COS(Calc!$E155))+1/Val!$D$19*(1-(1-(Val!$D$19*SIN(Calc!$E155))^2)^0.5))+Val!$D$15</f>
        <v>0.0019376097162889768</v>
      </c>
      <c r="K155" s="44">
        <f t="shared" si="51"/>
        <v>-5.4597168117413416E-05</v>
      </c>
      <c r="L155" s="50">
        <f>Val!$D$42*Val!$D$22/Val!$D$37/(1-Val!$D$39*COS(D155-Val!$D$40))</f>
        <v>96591.53135169158</v>
      </c>
      <c r="M155" s="50">
        <f>Val!$D$42*Val!$D$22/(Val!$D$11*((1-COS(Calc!D155))+1/Val!$D$18*(1-(1-(Val!$D$18*SIN(Calc!D155))^2)^0.5))/Val!$D$25+Val!$D$14/Val!$D$25+Val!$D$13/Val!$D$27+Val!$D$12*((1-COS(Calc!E155))+1/Val!$D$19*(1-(1-(Val!$D$19*SIN(Calc!E155))^2)^0.5))/Val!$D$26+Val!$D$15/Val!$D$26)</f>
        <v>92141.19386611177</v>
      </c>
      <c r="N155" s="16">
        <f t="shared" si="44"/>
        <v>1.1432390520374824</v>
      </c>
      <c r="O155" s="16">
        <f t="shared" si="45"/>
        <v>1.0914417375766126</v>
      </c>
      <c r="P155" s="16">
        <f t="shared" si="46"/>
        <v>-1.1892340009019096E-05</v>
      </c>
      <c r="Q155" s="16">
        <f t="shared" si="47"/>
        <v>-1.1902505627210723E-05</v>
      </c>
      <c r="R155" s="13">
        <f t="shared" si="40"/>
        <v>0.7649481181103687</v>
      </c>
      <c r="S155" s="13">
        <f t="shared" si="41"/>
        <v>0.7871274716394381</v>
      </c>
      <c r="T155" s="13">
        <f t="shared" si="42"/>
        <v>0.5699279976245386</v>
      </c>
      <c r="U155" s="13">
        <f t="shared" si="43"/>
        <v>0.5436692573766493</v>
      </c>
      <c r="W155" s="387">
        <f>1*(M155-Val!$D$28)*PI()/4*Val!$D$2^2*(SIN(D155)+Val!$D$18/2*SIN(2*D155)/(1-Val!$D$18^2*SIN(D155)^2)^0.5)*Val!$D$4*(D155-D154)+1*(M155-Val!$D$28)*PI()/4*Val!$D$3^2*(SIN(E155)+Val!$D$19/2*SIN(2*E155)/(1-Val!$D$19^2*SIN(E155)^2)^0.5)*Val!$D$5*(E155-E154)</f>
        <v>-0.10927180811149667</v>
      </c>
    </row>
    <row r="156" spans="2:23" ht="13.5">
      <c r="B156" s="32">
        <v>151</v>
      </c>
      <c r="C156" s="32">
        <f>B156-Data!$D$10</f>
        <v>61</v>
      </c>
      <c r="D156" s="30">
        <f t="shared" si="48"/>
        <v>2.6354471705114375</v>
      </c>
      <c r="E156" s="30">
        <f t="shared" si="49"/>
        <v>1.064650843716541</v>
      </c>
      <c r="F156" s="26">
        <f>Val!$D$11*(1-COS(D156))+Val!$D$12*(1-COS(E156))</f>
        <v>0.0011949048881805826</v>
      </c>
      <c r="G156" s="26">
        <f>Val!$D$11*((1-COS(Calc!D156))+1/Val!$D$18*(1-(1-(Val!$D$18*SIN(Calc!D156))^2)^0.5))+Val!$D$12*((1-COS(Calc!E156))+1/Val!$D$19*(1-(1-(Val!$D$19*SIN(Calc!E156))^2)^0.5))</f>
        <v>0.0012495122219161876</v>
      </c>
      <c r="H156" s="26">
        <f t="shared" si="50"/>
        <v>-5.460733373560504E-05</v>
      </c>
      <c r="I156" s="22">
        <f>Val!$D$11*(1-COS(D156))+Val!$D$14+Val!$D$13+Val!$D$12*((1-COS(Calc!E156)))+Val!$D$15</f>
        <v>0.0018949048881805825</v>
      </c>
      <c r="J156" s="22">
        <f>Val!$D$11*((1-COS(Calc!$D156))+1/Val!$D$18*(1-(1-(Val!$D$18*SIN(Calc!$D156))^2)^0.5))+Val!$D$14+Val!$D$13+Val!$D$12*((1-COS(Calc!$E156))+1/Val!$D$19*(1-(1-(Val!$D$19*SIN(Calc!$E156))^2)^0.5))+Val!$D$15</f>
        <v>0.0019495122219161875</v>
      </c>
      <c r="K156" s="44">
        <f t="shared" si="51"/>
        <v>-5.460733373560504E-05</v>
      </c>
      <c r="L156" s="50">
        <f>Val!$D$42*Val!$D$22/Val!$D$37/(1-Val!$D$39*COS(D156-Val!$D$40))</f>
        <v>95673.24600422915</v>
      </c>
      <c r="M156" s="50">
        <f>Val!$D$42*Val!$D$22/(Val!$D$11*((1-COS(Calc!D156))+1/Val!$D$18*(1-(1-(Val!$D$18*SIN(Calc!D156))^2)^0.5))/Val!$D$25+Val!$D$14/Val!$D$25+Val!$D$13/Val!$D$27+Val!$D$12*((1-COS(Calc!E156))+1/Val!$D$19*(1-(1-(Val!$D$19*SIN(Calc!E156))^2)^0.5))/Val!$D$26+Val!$D$15/Val!$D$26)</f>
        <v>91255.77678205668</v>
      </c>
      <c r="N156" s="16">
        <f t="shared" si="44"/>
        <v>1.1267519212805512</v>
      </c>
      <c r="O156" s="16">
        <f t="shared" si="45"/>
        <v>1.0756346827409657</v>
      </c>
      <c r="P156" s="16">
        <f t="shared" si="46"/>
        <v>-1.183297005241256E-05</v>
      </c>
      <c r="Q156" s="16">
        <f t="shared" si="47"/>
        <v>-1.184348807153901E-05</v>
      </c>
      <c r="R156" s="13">
        <f t="shared" si="40"/>
        <v>0.7697792187414618</v>
      </c>
      <c r="S156" s="13">
        <f t="shared" si="41"/>
        <v>0.7919627019140179</v>
      </c>
      <c r="T156" s="13">
        <f t="shared" si="42"/>
        <v>0.5645097531676652</v>
      </c>
      <c r="U156" s="13">
        <f t="shared" si="43"/>
        <v>0.5384449485918478</v>
      </c>
      <c r="W156" s="387">
        <f>1*(M156-Val!$D$28)*PI()/4*Val!$D$2^2*(SIN(D156)+Val!$D$18/2*SIN(2*D156)/(1-Val!$D$18^2*SIN(D156)^2)^0.5)*Val!$D$4*(D156-D155)+1*(M156-Val!$D$28)*PI()/4*Val!$D$3^2*(SIN(E156)+Val!$D$19/2*SIN(2*E156)/(1-Val!$D$19^2*SIN(E156)^2)^0.5)*Val!$D$5*(E156-E155)</f>
        <v>-0.1192611644963244</v>
      </c>
    </row>
    <row r="157" spans="2:23" ht="13.5">
      <c r="B157" s="32">
        <v>152</v>
      </c>
      <c r="C157" s="32">
        <f>B157-Data!$D$10</f>
        <v>62</v>
      </c>
      <c r="D157" s="30">
        <f t="shared" si="48"/>
        <v>2.652900463031381</v>
      </c>
      <c r="E157" s="30">
        <f t="shared" si="49"/>
        <v>1.0821041362364843</v>
      </c>
      <c r="F157" s="26">
        <f>Val!$D$11*(1-COS(D157))+Val!$D$12*(1-COS(E157))</f>
        <v>0.0012067378582329951</v>
      </c>
      <c r="G157" s="26">
        <f>Val!$D$11*((1-COS(Calc!D157))+1/Val!$D$18*(1-(1-(Val!$D$18*SIN(Calc!D157))^2)^0.5))+Val!$D$12*((1-COS(Calc!E157))+1/Val!$D$19*(1-(1-(Val!$D$19*SIN(Calc!E157))^2)^0.5))</f>
        <v>0.0012613557099877266</v>
      </c>
      <c r="H157" s="26">
        <f t="shared" si="50"/>
        <v>-5.461785175473149E-05</v>
      </c>
      <c r="I157" s="22">
        <f>Val!$D$11*(1-COS(D157))+Val!$D$14+Val!$D$13+Val!$D$12*((1-COS(Calc!E157)))+Val!$D$15</f>
        <v>0.001906737858232995</v>
      </c>
      <c r="J157" s="22">
        <f>Val!$D$11*((1-COS(Calc!$D157))+1/Val!$D$18*(1-(1-(Val!$D$18*SIN(Calc!$D157))^2)^0.5))+Val!$D$14+Val!$D$13+Val!$D$12*((1-COS(Calc!$E157))+1/Val!$D$19*(1-(1-(Val!$D$19*SIN(Calc!$E157))^2)^0.5))+Val!$D$15</f>
        <v>0.0019613557099877263</v>
      </c>
      <c r="K157" s="44">
        <f t="shared" si="51"/>
        <v>-5.4617851754731276E-05</v>
      </c>
      <c r="L157" s="50">
        <f>Val!$D$42*Val!$D$22/Val!$D$37/(1-Val!$D$39*COS(D157-Val!$D$40))</f>
        <v>94769.54499241059</v>
      </c>
      <c r="M157" s="50">
        <f>Val!$D$42*Val!$D$22/(Val!$D$11*((1-COS(Calc!D157))+1/Val!$D$18*(1-(1-(Val!$D$18*SIN(Calc!D157))^2)^0.5))/Val!$D$25+Val!$D$14/Val!$D$25+Val!$D$13/Val!$D$27+Val!$D$12*((1-COS(Calc!E157))+1/Val!$D$19*(1-(1-(Val!$D$19*SIN(Calc!E157))^2)^0.5))/Val!$D$26+Val!$D$15/Val!$D$26)</f>
        <v>90385.75926606657</v>
      </c>
      <c r="N157" s="16">
        <f t="shared" si="44"/>
        <v>1.11020430098228</v>
      </c>
      <c r="O157" s="16">
        <f t="shared" si="45"/>
        <v>1.05978330315571</v>
      </c>
      <c r="P157" s="16">
        <f t="shared" si="46"/>
        <v>-1.176999565849924E-05</v>
      </c>
      <c r="Q157" s="16">
        <f t="shared" si="47"/>
        <v>-1.178081484711933E-05</v>
      </c>
      <c r="R157" s="13">
        <f t="shared" si="40"/>
        <v>0.7745862011389177</v>
      </c>
      <c r="S157" s="13">
        <f t="shared" si="41"/>
        <v>0.7967739571130251</v>
      </c>
      <c r="T157" s="13">
        <f t="shared" si="42"/>
        <v>0.5591775620230633</v>
      </c>
      <c r="U157" s="13">
        <f t="shared" si="43"/>
        <v>0.5333115033110071</v>
      </c>
      <c r="W157" s="387">
        <f>1*(M157-Val!$D$28)*PI()/4*Val!$D$2^2*(SIN(D157)+Val!$D$18/2*SIN(2*D157)/(1-Val!$D$18^2*SIN(D157)^2)^0.5)*Val!$D$4*(D157-D156)+1*(M157-Val!$D$28)*PI()/4*Val!$D$3^2*(SIN(E157)+Val!$D$19/2*SIN(2*E157)/(1-Val!$D$19^2*SIN(E157)^2)^0.5)*Val!$D$5*(E157-E156)</f>
        <v>-0.12892729880038506</v>
      </c>
    </row>
    <row r="158" spans="2:23" ht="13.5">
      <c r="B158" s="32">
        <v>153</v>
      </c>
      <c r="C158" s="32">
        <f>B158-Data!$D$10</f>
        <v>63</v>
      </c>
      <c r="D158" s="30">
        <f t="shared" si="48"/>
        <v>2.670353755551324</v>
      </c>
      <c r="E158" s="30">
        <f t="shared" si="49"/>
        <v>1.0995574287564276</v>
      </c>
      <c r="F158" s="26">
        <f>Val!$D$11*(1-COS(D158))+Val!$D$12*(1-COS(E158))</f>
        <v>0.0012185078538914944</v>
      </c>
      <c r="G158" s="26">
        <f>Val!$D$11*((1-COS(Calc!D158))+1/Val!$D$18*(1-(1-(Val!$D$18*SIN(Calc!D158))^2)^0.5))+Val!$D$12*((1-COS(Calc!E158))+1/Val!$D$19*(1-(1-(Val!$D$19*SIN(Calc!E158))^2)^0.5))</f>
        <v>0.001273136524834846</v>
      </c>
      <c r="H158" s="26">
        <f t="shared" si="50"/>
        <v>-5.462867094335158E-05</v>
      </c>
      <c r="I158" s="22">
        <f>Val!$D$11*(1-COS(D158))+Val!$D$14+Val!$D$13+Val!$D$12*((1-COS(Calc!E158)))+Val!$D$15</f>
        <v>0.0019185078538914943</v>
      </c>
      <c r="J158" s="22">
        <f>Val!$D$11*((1-COS(Calc!$D158))+1/Val!$D$18*(1-(1-(Val!$D$18*SIN(Calc!$D158))^2)^0.5))+Val!$D$14+Val!$D$13+Val!$D$12*((1-COS(Calc!$E158))+1/Val!$D$19*(1-(1-(Val!$D$19*SIN(Calc!$E158))^2)^0.5))+Val!$D$15</f>
        <v>0.0019731365248348456</v>
      </c>
      <c r="K158" s="44">
        <f t="shared" si="51"/>
        <v>-5.4628670943351366E-05</v>
      </c>
      <c r="L158" s="50">
        <f>Val!$D$42*Val!$D$22/Val!$D$37/(1-Val!$D$39*COS(D158-Val!$D$40))</f>
        <v>93880.36333284689</v>
      </c>
      <c r="M158" s="50">
        <f>Val!$D$42*Val!$D$22/(Val!$D$11*((1-COS(Calc!D158))+1/Val!$D$18*(1-(1-(Val!$D$18*SIN(Calc!D158))^2)^0.5))/Val!$D$25+Val!$D$14/Val!$D$25+Val!$D$13/Val!$D$27+Val!$D$12*((1-COS(Calc!E158))+1/Val!$D$19*(1-(1-(Val!$D$19*SIN(Calc!E158))^2)^0.5))/Val!$D$26+Val!$D$15/Val!$D$26)</f>
        <v>89531.0490207304</v>
      </c>
      <c r="N158" s="16">
        <f t="shared" si="44"/>
        <v>1.0936041135956978</v>
      </c>
      <c r="O158" s="16">
        <f t="shared" si="45"/>
        <v>1.0438946096977966</v>
      </c>
      <c r="P158" s="16">
        <f t="shared" si="46"/>
        <v>-1.1703436009889712E-05</v>
      </c>
      <c r="Q158" s="16">
        <f t="shared" si="47"/>
        <v>-1.1714503667772545E-05</v>
      </c>
      <c r="R158" s="13">
        <f t="shared" si="40"/>
        <v>0.7793676010493318</v>
      </c>
      <c r="S158" s="13">
        <f t="shared" si="41"/>
        <v>0.8015597521709822</v>
      </c>
      <c r="T158" s="13">
        <f t="shared" si="42"/>
        <v>0.5539310407631979</v>
      </c>
      <c r="U158" s="13">
        <f t="shared" si="43"/>
        <v>0.528268376943127</v>
      </c>
      <c r="W158" s="387">
        <f>1*(M158-Val!$D$28)*PI()/4*Val!$D$2^2*(SIN(D158)+Val!$D$18/2*SIN(2*D158)/(1-Val!$D$18^2*SIN(D158)^2)^0.5)*Val!$D$4*(D158-D157)+1*(M158-Val!$D$28)*PI()/4*Val!$D$3^2*(SIN(E158)+Val!$D$19/2*SIN(2*E158)/(1-Val!$D$19^2*SIN(E158)^2)^0.5)*Val!$D$5*(E158-E157)</f>
        <v>-0.13826474357462656</v>
      </c>
    </row>
    <row r="159" spans="2:23" ht="13.5">
      <c r="B159" s="32">
        <v>154</v>
      </c>
      <c r="C159" s="32">
        <f>B159-Data!$D$10</f>
        <v>64</v>
      </c>
      <c r="D159" s="30">
        <f t="shared" si="48"/>
        <v>2.6878070480712677</v>
      </c>
      <c r="E159" s="30">
        <f t="shared" si="49"/>
        <v>1.117010721276371</v>
      </c>
      <c r="F159" s="26">
        <f>Val!$D$11*(1-COS(D159))+Val!$D$12*(1-COS(E159))</f>
        <v>0.001230211289901384</v>
      </c>
      <c r="G159" s="26">
        <f>Val!$D$11*((1-COS(Calc!D159))+1/Val!$D$18*(1-(1-(Val!$D$18*SIN(Calc!D159))^2)^0.5))+Val!$D$12*((1-COS(Calc!E159))+1/Val!$D$19*(1-(1-(Val!$D$19*SIN(Calc!E159))^2)^0.5))</f>
        <v>0.0012848510285026185</v>
      </c>
      <c r="H159" s="26">
        <f t="shared" si="50"/>
        <v>-5.463973860123442E-05</v>
      </c>
      <c r="I159" s="22">
        <f>Val!$D$11*(1-COS(D159))+Val!$D$14+Val!$D$13+Val!$D$12*((1-COS(Calc!E159)))+Val!$D$15</f>
        <v>0.001930211289901384</v>
      </c>
      <c r="J159" s="22">
        <f>Val!$D$11*((1-COS(Calc!$D159))+1/Val!$D$18*(1-(1-(Val!$D$18*SIN(Calc!$D159))^2)^0.5))+Val!$D$14+Val!$D$13+Val!$D$12*((1-COS(Calc!$E159))+1/Val!$D$19*(1-(1-(Val!$D$19*SIN(Calc!$E159))^2)^0.5))+Val!$D$15</f>
        <v>0.0019848510285026184</v>
      </c>
      <c r="K159" s="44">
        <f t="shared" si="51"/>
        <v>-5.463973860123442E-05</v>
      </c>
      <c r="L159" s="50">
        <f>Val!$D$42*Val!$D$22/Val!$D$37/(1-Val!$D$39*COS(D159-Val!$D$40))</f>
        <v>93005.62684500746</v>
      </c>
      <c r="M159" s="50">
        <f>Val!$D$42*Val!$D$22/(Val!$D$11*((1-COS(Calc!D159))+1/Val!$D$18*(1-(1-(Val!$D$18*SIN(Calc!D159))^2)^0.5))/Val!$D$25+Val!$D$14/Val!$D$25+Val!$D$13/Val!$D$27+Val!$D$12*((1-COS(Calc!E159))+1/Val!$D$19*(1-(1-(Val!$D$19*SIN(Calc!E159))^2)^0.5))/Val!$D$26+Val!$D$15/Val!$D$26)</f>
        <v>88691.54398073113</v>
      </c>
      <c r="N159" s="16">
        <f t="shared" si="44"/>
        <v>1.076958918214499</v>
      </c>
      <c r="O159" s="16">
        <f t="shared" si="45"/>
        <v>1.0279752549690413</v>
      </c>
      <c r="P159" s="16">
        <f t="shared" si="46"/>
        <v>-1.1633311381297959E-05</v>
      </c>
      <c r="Q159" s="16">
        <f t="shared" si="47"/>
        <v>-1.1644573595979632E-05</v>
      </c>
      <c r="R159" s="13">
        <f t="shared" si="40"/>
        <v>0.7841219620119729</v>
      </c>
      <c r="S159" s="13">
        <f t="shared" si="41"/>
        <v>0.8063186092184091</v>
      </c>
      <c r="T159" s="13">
        <f t="shared" si="42"/>
        <v>0.548769751693784</v>
      </c>
      <c r="U159" s="13">
        <f t="shared" si="43"/>
        <v>0.5233149672627233</v>
      </c>
      <c r="W159" s="387">
        <f>1*(M159-Val!$D$28)*PI()/4*Val!$D$2^2*(SIN(D159)+Val!$D$18/2*SIN(2*D159)/(1-Val!$D$18^2*SIN(D159)^2)^0.5)*Val!$D$4*(D159-D158)+1*(M159-Val!$D$28)*PI()/4*Val!$D$3^2*(SIN(E159)+Val!$D$19/2*SIN(2*E159)/(1-Val!$D$19^2*SIN(E159)^2)^0.5)*Val!$D$5*(E159-E158)</f>
        <v>-0.14726853306037463</v>
      </c>
    </row>
    <row r="160" spans="2:23" ht="13.5">
      <c r="B160" s="32">
        <v>155</v>
      </c>
      <c r="C160" s="32">
        <f>B160-Data!$D$10</f>
        <v>65</v>
      </c>
      <c r="D160" s="30">
        <f t="shared" si="48"/>
        <v>2.705260340591211</v>
      </c>
      <c r="E160" s="30">
        <f t="shared" si="49"/>
        <v>1.1344640137963142</v>
      </c>
      <c r="F160" s="26">
        <f>Val!$D$11*(1-COS(D160))+Val!$D$12*(1-COS(E160))</f>
        <v>0.001241844601282682</v>
      </c>
      <c r="G160" s="26">
        <f>Val!$D$11*((1-COS(Calc!D160))+1/Val!$D$18*(1-(1-(Val!$D$18*SIN(Calc!D160))^2)^0.5))+Val!$D$12*((1-COS(Calc!E160))+1/Val!$D$19*(1-(1-(Val!$D$19*SIN(Calc!E160))^2)^0.5))</f>
        <v>0.0012964956020985981</v>
      </c>
      <c r="H160" s="26">
        <f t="shared" si="50"/>
        <v>-5.465100081591609E-05</v>
      </c>
      <c r="I160" s="22">
        <f>Val!$D$11*(1-COS(D160))+Val!$D$14+Val!$D$13+Val!$D$12*((1-COS(Calc!E160)))+Val!$D$15</f>
        <v>0.0019418446012826821</v>
      </c>
      <c r="J160" s="22">
        <f>Val!$D$11*((1-COS(Calc!$D160))+1/Val!$D$18*(1-(1-(Val!$D$18*SIN(Calc!$D160))^2)^0.5))+Val!$D$14+Val!$D$13+Val!$D$12*((1-COS(Calc!$E160))+1/Val!$D$19*(1-(1-(Val!$D$19*SIN(Calc!$E160))^2)^0.5))+Val!$D$15</f>
        <v>0.001996495602098598</v>
      </c>
      <c r="K160" s="44">
        <f t="shared" si="51"/>
        <v>-5.465100081591587E-05</v>
      </c>
      <c r="L160" s="50">
        <f>Val!$D$42*Val!$D$22/Val!$D$37/(1-Val!$D$39*COS(D160-Val!$D$40))</f>
        <v>92145.25288573345</v>
      </c>
      <c r="M160" s="50">
        <f>Val!$D$42*Val!$D$22/(Val!$D$11*((1-COS(Calc!D160))+1/Val!$D$18*(1-(1-(Val!$D$18*SIN(Calc!D160))^2)^0.5))/Val!$D$25+Val!$D$14/Val!$D$25+Val!$D$13/Val!$D$27+Val!$D$12*((1-COS(Calc!E160))+1/Val!$D$19*(1-(1-(Val!$D$19*SIN(Calc!E160))^2)^0.5))/Val!$D$26+Val!$D$15/Val!$D$26)</f>
        <v>87867.13315691121</v>
      </c>
      <c r="N160" s="16">
        <f t="shared" si="44"/>
        <v>1.0602759221415192</v>
      </c>
      <c r="O160" s="16">
        <f t="shared" si="45"/>
        <v>1.0120315469338281</v>
      </c>
      <c r="P160" s="16">
        <f t="shared" si="46"/>
        <v>-1.1559643133364885E-05</v>
      </c>
      <c r="Q160" s="16">
        <f t="shared" si="47"/>
        <v>-1.1571045042650966E-05</v>
      </c>
      <c r="R160" s="13">
        <f t="shared" si="40"/>
        <v>0.7888478358024354</v>
      </c>
      <c r="S160" s="13">
        <f t="shared" si="41"/>
        <v>0.8110490581296985</v>
      </c>
      <c r="T160" s="13">
        <f t="shared" si="42"/>
        <v>0.5436932071877034</v>
      </c>
      <c r="U160" s="13">
        <f t="shared" si="43"/>
        <v>0.5184506193901449</v>
      </c>
      <c r="W160" s="387">
        <f>1*(M160-Val!$D$28)*PI()/4*Val!$D$2^2*(SIN(D160)+Val!$D$18/2*SIN(2*D160)/(1-Val!$D$18^2*SIN(D160)^2)^0.5)*Val!$D$4*(D160-D159)+1*(M160-Val!$D$28)*PI()/4*Val!$D$3^2*(SIN(E160)+Val!$D$19/2*SIN(2*E160)/(1-Val!$D$19^2*SIN(E160)^2)^0.5)*Val!$D$5*(E160-E159)</f>
        <v>-0.15593418949375154</v>
      </c>
    </row>
    <row r="161" spans="2:23" ht="13.5">
      <c r="B161" s="32">
        <v>156</v>
      </c>
      <c r="C161" s="32">
        <f>B161-Data!$D$10</f>
        <v>66</v>
      </c>
      <c r="D161" s="30">
        <f t="shared" si="48"/>
        <v>2.722713633111154</v>
      </c>
      <c r="E161" s="30">
        <f t="shared" si="49"/>
        <v>1.1519173063162575</v>
      </c>
      <c r="F161" s="26">
        <f>Val!$D$11*(1-COS(D161))+Val!$D$12*(1-COS(E161))</f>
        <v>0.001253404244416047</v>
      </c>
      <c r="G161" s="26">
        <f>Val!$D$11*((1-COS(Calc!D161))+1/Val!$D$18*(1-(1-(Val!$D$18*SIN(Calc!D161))^2)^0.5))+Val!$D$12*((1-COS(Calc!E161))+1/Val!$D$19*(1-(1-(Val!$D$19*SIN(Calc!E161))^2)^0.5))</f>
        <v>0.001308066647141249</v>
      </c>
      <c r="H161" s="26">
        <f t="shared" si="50"/>
        <v>-5.466240272520217E-05</v>
      </c>
      <c r="I161" s="22">
        <f>Val!$D$11*(1-COS(D161))+Val!$D$14+Val!$D$13+Val!$D$12*((1-COS(Calc!E161)))+Val!$D$15</f>
        <v>0.0019534042444160466</v>
      </c>
      <c r="J161" s="22">
        <f>Val!$D$11*((1-COS(Calc!$D161))+1/Val!$D$18*(1-(1-(Val!$D$18*SIN(Calc!$D161))^2)^0.5))+Val!$D$14+Val!$D$13+Val!$D$12*((1-COS(Calc!$E161))+1/Val!$D$19*(1-(1-(Val!$D$19*SIN(Calc!$E161))^2)^0.5))+Val!$D$15</f>
        <v>0.002008066647141249</v>
      </c>
      <c r="K161" s="44">
        <f t="shared" si="51"/>
        <v>-5.4662402725202605E-05</v>
      </c>
      <c r="L161" s="50">
        <f>Val!$D$42*Val!$D$22/Val!$D$37/(1-Val!$D$39*COS(D161-Val!$D$40))</f>
        <v>91299.15104768181</v>
      </c>
      <c r="M161" s="50">
        <f>Val!$D$42*Val!$D$22/(Val!$D$11*((1-COS(Calc!D161))+1/Val!$D$18*(1-(1-(Val!$D$18*SIN(Calc!D161))^2)^0.5))/Val!$D$25+Val!$D$14/Val!$D$25+Val!$D$13/Val!$D$27+Val!$D$12*((1-COS(Calc!E161))+1/Val!$D$19*(1-(1-(Val!$D$19*SIN(Calc!E161))^2)^0.5))/Val!$D$26+Val!$D$15/Val!$D$26)</f>
        <v>87057.69743590952</v>
      </c>
      <c r="N161" s="16">
        <f t="shared" si="44"/>
        <v>1.0435619923920272</v>
      </c>
      <c r="O161" s="16">
        <f t="shared" si="45"/>
        <v>0.9960694623039864</v>
      </c>
      <c r="P161" s="16">
        <f t="shared" si="46"/>
        <v>-1.1482453706153101E-05</v>
      </c>
      <c r="Q161" s="16">
        <f t="shared" si="47"/>
        <v>-1.1493939765279057E-05</v>
      </c>
      <c r="R161" s="13">
        <f t="shared" si="40"/>
        <v>0.7935437828737817</v>
      </c>
      <c r="S161" s="13">
        <f t="shared" si="41"/>
        <v>0.8157496370708962</v>
      </c>
      <c r="T161" s="13">
        <f t="shared" si="42"/>
        <v>0.5387008738061003</v>
      </c>
      <c r="U161" s="13">
        <f t="shared" si="43"/>
        <v>0.5136746305097473</v>
      </c>
      <c r="W161" s="387">
        <f>1*(M161-Val!$D$28)*PI()/4*Val!$D$2^2*(SIN(D161)+Val!$D$18/2*SIN(2*D161)/(1-Val!$D$18^2*SIN(D161)^2)^0.5)*Val!$D$4*(D161-D160)+1*(M161-Val!$D$28)*PI()/4*Val!$D$3^2*(SIN(E161)+Val!$D$19/2*SIN(2*E161)/(1-Val!$D$19^2*SIN(E161)^2)^0.5)*Val!$D$5*(E161-E160)</f>
        <v>-0.1642577094857837</v>
      </c>
    </row>
    <row r="162" spans="2:23" ht="13.5">
      <c r="B162" s="32">
        <v>157</v>
      </c>
      <c r="C162" s="32">
        <f>B162-Data!$D$10</f>
        <v>67</v>
      </c>
      <c r="D162" s="30">
        <f t="shared" si="48"/>
        <v>2.7401669256310974</v>
      </c>
      <c r="E162" s="30">
        <f t="shared" si="49"/>
        <v>1.1693705988362009</v>
      </c>
      <c r="F162" s="26">
        <f>Val!$D$11*(1-COS(D162))+Val!$D$12*(1-COS(E162))</f>
        <v>0.0012648866981222</v>
      </c>
      <c r="G162" s="26">
        <f>Val!$D$11*((1-COS(Calc!D162))+1/Val!$D$18*(1-(1-(Val!$D$18*SIN(Calc!D162))^2)^0.5))+Val!$D$12*((1-COS(Calc!E162))+1/Val!$D$19*(1-(1-(Val!$D$19*SIN(Calc!E162))^2)^0.5))</f>
        <v>0.0013195605869065282</v>
      </c>
      <c r="H162" s="26">
        <f t="shared" si="50"/>
        <v>-5.467388878432813E-05</v>
      </c>
      <c r="I162" s="22">
        <f>Val!$D$11*(1-COS(D162))+Val!$D$14+Val!$D$13+Val!$D$12*((1-COS(Calc!E162)))+Val!$D$15</f>
        <v>0.0019648866981221997</v>
      </c>
      <c r="J162" s="22">
        <f>Val!$D$11*((1-COS(Calc!$D162))+1/Val!$D$18*(1-(1-(Val!$D$18*SIN(Calc!$D162))^2)^0.5))+Val!$D$14+Val!$D$13+Val!$D$12*((1-COS(Calc!$E162))+1/Val!$D$19*(1-(1-(Val!$D$19*SIN(Calc!$E162))^2)^0.5))+Val!$D$15</f>
        <v>0.002019560586906528</v>
      </c>
      <c r="K162" s="44">
        <f t="shared" si="51"/>
        <v>-5.467388878432813E-05</v>
      </c>
      <c r="L162" s="50">
        <f>Val!$D$42*Val!$D$22/Val!$D$37/(1-Val!$D$39*COS(D162-Val!$D$40))</f>
        <v>90467.2238226673</v>
      </c>
      <c r="M162" s="50">
        <f>Val!$D$42*Val!$D$22/(Val!$D$11*((1-COS(Calc!D162))+1/Val!$D$18*(1-(1-(Val!$D$18*SIN(Calc!D162))^2)^0.5))/Val!$D$25+Val!$D$14/Val!$D$25+Val!$D$13/Val!$D$27+Val!$D$12*((1-COS(Calc!E162))+1/Val!$D$19*(1-(1-(Val!$D$19*SIN(Calc!E162))^2)^0.5))/Val!$D$26+Val!$D$15/Val!$D$26)</f>
        <v>86263.11033671428</v>
      </c>
      <c r="N162" s="16">
        <f t="shared" si="44"/>
        <v>1.0268236670988284</v>
      </c>
      <c r="O162" s="16">
        <f t="shared" si="45"/>
        <v>0.9800946596471979</v>
      </c>
      <c r="P162" s="16">
        <f t="shared" si="46"/>
        <v>-1.1401766612308649E-05</v>
      </c>
      <c r="Q162" s="16">
        <f t="shared" si="47"/>
        <v>-1.1413280864468016E-05</v>
      </c>
      <c r="R162" s="13">
        <f t="shared" si="40"/>
        <v>0.7982083727950439</v>
      </c>
      <c r="S162" s="13">
        <f t="shared" si="41"/>
        <v>0.820418893046732</v>
      </c>
      <c r="T162" s="13">
        <f t="shared" si="42"/>
        <v>0.5337921762123589</v>
      </c>
      <c r="U162" s="13">
        <f t="shared" si="43"/>
        <v>0.5089862543338507</v>
      </c>
      <c r="W162" s="387">
        <f>1*(M162-Val!$D$28)*PI()/4*Val!$D$2^2*(SIN(D162)+Val!$D$18/2*SIN(2*D162)/(1-Val!$D$18^2*SIN(D162)^2)^0.5)*Val!$D$4*(D162-D161)+1*(M162-Val!$D$28)*PI()/4*Val!$D$3^2*(SIN(E162)+Val!$D$19/2*SIN(2*E162)/(1-Val!$D$19^2*SIN(E162)^2)^0.5)*Val!$D$5*(E162-E161)</f>
        <v>-0.17223555050402886</v>
      </c>
    </row>
    <row r="163" spans="2:23" ht="13.5">
      <c r="B163" s="32">
        <v>158</v>
      </c>
      <c r="C163" s="32">
        <f>B163-Data!$D$10</f>
        <v>68</v>
      </c>
      <c r="D163" s="30">
        <f t="shared" si="48"/>
        <v>2.7576202181510405</v>
      </c>
      <c r="E163" s="30">
        <f t="shared" si="49"/>
        <v>1.1868238913561442</v>
      </c>
      <c r="F163" s="26">
        <f>Val!$D$11*(1-COS(D163))+Val!$D$12*(1-COS(E163))</f>
        <v>0.0012762884647345087</v>
      </c>
      <c r="G163" s="26">
        <f>Val!$D$11*((1-COS(Calc!D163))+1/Val!$D$18*(1-(1-(Val!$D$18*SIN(Calc!D163))^2)^0.5))+Val!$D$12*((1-COS(Calc!E163))+1/Val!$D$19*(1-(1-(Val!$D$19*SIN(Calc!E163))^2)^0.5))</f>
        <v>0.0013309738677709962</v>
      </c>
      <c r="H163" s="26">
        <f t="shared" si="50"/>
        <v>-5.4685403036487494E-05</v>
      </c>
      <c r="I163" s="22">
        <f>Val!$D$11*(1-COS(D163))+Val!$D$14+Val!$D$13+Val!$D$12*((1-COS(Calc!E163)))+Val!$D$15</f>
        <v>0.0019762884647345083</v>
      </c>
      <c r="J163" s="22">
        <f>Val!$D$11*((1-COS(Calc!$D163))+1/Val!$D$18*(1-(1-(Val!$D$18*SIN(Calc!$D163))^2)^0.5))+Val!$D$14+Val!$D$13+Val!$D$12*((1-COS(Calc!$E163))+1/Val!$D$19*(1-(1-(Val!$D$19*SIN(Calc!$E163))^2)^0.5))+Val!$D$15</f>
        <v>0.002030973867770996</v>
      </c>
      <c r="K163" s="44">
        <f t="shared" si="51"/>
        <v>-5.4685403036487494E-05</v>
      </c>
      <c r="L163" s="50">
        <f>Val!$D$42*Val!$D$22/Val!$D$37/(1-Val!$D$39*COS(D163-Val!$D$40))</f>
        <v>89649.36723092127</v>
      </c>
      <c r="M163" s="50">
        <f>Val!$D$42*Val!$D$22/(Val!$D$11*((1-COS(Calc!D163))+1/Val!$D$18*(1-(1-(Val!$D$18*SIN(Calc!D163))^2)^0.5))/Val!$D$25+Val!$D$14/Val!$D$25+Val!$D$13/Val!$D$27+Val!$D$12*((1-COS(Calc!E163))+1/Val!$D$19*(1-(1-(Val!$D$19*SIN(Calc!E163))^2)^0.5))/Val!$D$26+Val!$D$15/Val!$D$26)</f>
        <v>85483.2387255334</v>
      </c>
      <c r="N163" s="16">
        <f t="shared" si="44"/>
        <v>1.0100671667949594</v>
      </c>
      <c r="O163" s="16">
        <f t="shared" si="45"/>
        <v>0.9641124921948641</v>
      </c>
      <c r="P163" s="16">
        <f t="shared" si="46"/>
        <v>-1.1317606429903093E-05</v>
      </c>
      <c r="Q163" s="16">
        <f t="shared" si="47"/>
        <v>-1.1329092778821328E-05</v>
      </c>
      <c r="R163" s="13">
        <f t="shared" si="40"/>
        <v>0.8028401846869445</v>
      </c>
      <c r="S163" s="13">
        <f t="shared" si="41"/>
        <v>0.825055382446241</v>
      </c>
      <c r="T163" s="13">
        <f t="shared" si="42"/>
        <v>0.5289665008849774</v>
      </c>
      <c r="U163" s="13">
        <f t="shared" si="43"/>
        <v>0.5043847053207575</v>
      </c>
      <c r="W163" s="387">
        <f>1*(M163-Val!$D$28)*PI()/4*Val!$D$2^2*(SIN(D163)+Val!$D$18/2*SIN(2*D163)/(1-Val!$D$18^2*SIN(D163)^2)^0.5)*Val!$D$4*(D163-D162)+1*(M163-Val!$D$28)*PI()/4*Val!$D$3^2*(SIN(E163)+Val!$D$19/2*SIN(2*E163)/(1-Val!$D$19^2*SIN(E163)^2)^0.5)*Val!$D$5*(E163-E162)</f>
        <v>-0.179864617477873</v>
      </c>
    </row>
    <row r="164" spans="2:23" ht="13.5">
      <c r="B164" s="32">
        <v>159</v>
      </c>
      <c r="C164" s="32">
        <f>B164-Data!$D$10</f>
        <v>69</v>
      </c>
      <c r="D164" s="30">
        <f t="shared" si="48"/>
        <v>2.775073510670984</v>
      </c>
      <c r="E164" s="30">
        <f t="shared" si="49"/>
        <v>1.2042771838760873</v>
      </c>
      <c r="F164" s="26">
        <f>Val!$D$11*(1-COS(D164))+Val!$D$12*(1-COS(E164))</f>
        <v>0.0012876060711644118</v>
      </c>
      <c r="G164" s="26">
        <f>Val!$D$11*((1-COS(Calc!D164))+1/Val!$D$18*(1-(1-(Val!$D$18*SIN(Calc!D164))^2)^0.5))+Val!$D$12*((1-COS(Calc!E164))+1/Val!$D$19*(1-(1-(Val!$D$19*SIN(Calc!E164))^2)^0.5))</f>
        <v>0.0013423029605498175</v>
      </c>
      <c r="H164" s="26">
        <f t="shared" si="50"/>
        <v>-5.469688938540573E-05</v>
      </c>
      <c r="I164" s="22">
        <f>Val!$D$11*(1-COS(D164))+Val!$D$14+Val!$D$13+Val!$D$12*((1-COS(Calc!E164)))+Val!$D$15</f>
        <v>0.0019876060711644114</v>
      </c>
      <c r="J164" s="22">
        <f>Val!$D$11*((1-COS(Calc!$D164))+1/Val!$D$18*(1-(1-(Val!$D$18*SIN(Calc!$D164))^2)^0.5))+Val!$D$14+Val!$D$13+Val!$D$12*((1-COS(Calc!$E164))+1/Val!$D$19*(1-(1-(Val!$D$19*SIN(Calc!$E164))^2)^0.5))+Val!$D$15</f>
        <v>0.0020423029605498174</v>
      </c>
      <c r="K164" s="44">
        <f t="shared" si="51"/>
        <v>-5.4696889385405945E-05</v>
      </c>
      <c r="L164" s="50">
        <f>Val!$D$42*Val!$D$22/Val!$D$37/(1-Val!$D$39*COS(D164-Val!$D$40))</f>
        <v>88845.47141732603</v>
      </c>
      <c r="M164" s="50">
        <f>Val!$D$42*Val!$D$22/(Val!$D$11*((1-COS(Calc!D164))+1/Val!$D$18*(1-(1-(Val!$D$18*SIN(Calc!D164))^2)^0.5))/Val!$D$25+Val!$D$14/Val!$D$25+Val!$D$13/Val!$D$27+Val!$D$12*((1-COS(Calc!E164))+1/Val!$D$19*(1-(1-(Val!$D$19*SIN(Calc!E164))^2)^0.5))/Val!$D$26+Val!$D$15/Val!$D$26)</f>
        <v>84717.94349042712</v>
      </c>
      <c r="N164" s="16">
        <f t="shared" si="44"/>
        <v>0.993298405546717</v>
      </c>
      <c r="O164" s="16">
        <f t="shared" si="45"/>
        <v>0.9481280203327818</v>
      </c>
      <c r="P164" s="16">
        <f t="shared" si="46"/>
        <v>-1.122999879494299E-05</v>
      </c>
      <c r="Q164" s="16">
        <f t="shared" si="47"/>
        <v>-1.1241401278172742E-05</v>
      </c>
      <c r="R164" s="13">
        <f t="shared" si="40"/>
        <v>0.8074378076547121</v>
      </c>
      <c r="S164" s="13">
        <f t="shared" si="41"/>
        <v>0.8296576715863067</v>
      </c>
      <c r="T164" s="13">
        <f t="shared" si="42"/>
        <v>0.5242231996355862</v>
      </c>
      <c r="U164" s="13">
        <f t="shared" si="43"/>
        <v>0.4998691626553488</v>
      </c>
      <c r="W164" s="387">
        <f>1*(M164-Val!$D$28)*PI()/4*Val!$D$2^2*(SIN(D164)+Val!$D$18/2*SIN(2*D164)/(1-Val!$D$18^2*SIN(D164)^2)^0.5)*Val!$D$4*(D164-D163)+1*(M164-Val!$D$28)*PI()/4*Val!$D$3^2*(SIN(E164)+Val!$D$19/2*SIN(2*E164)/(1-Val!$D$19^2*SIN(E164)^2)^0.5)*Val!$D$5*(E164-E163)</f>
        <v>-0.18714224954621123</v>
      </c>
    </row>
    <row r="165" spans="2:23" ht="13.5">
      <c r="B165" s="32">
        <v>160</v>
      </c>
      <c r="C165" s="32">
        <f>B165-Data!$D$10</f>
        <v>70</v>
      </c>
      <c r="D165" s="30">
        <f t="shared" si="48"/>
        <v>2.792526803190927</v>
      </c>
      <c r="E165" s="30">
        <f t="shared" si="49"/>
        <v>1.2217304763960306</v>
      </c>
      <c r="F165" s="26">
        <f>Val!$D$11*(1-COS(D165))+Val!$D$12*(1-COS(E165))</f>
        <v>0.0012988360699593548</v>
      </c>
      <c r="G165" s="26">
        <f>Val!$D$11*((1-COS(Calc!D165))+1/Val!$D$18*(1-(1-(Val!$D$18*SIN(Calc!D165))^2)^0.5))+Val!$D$12*((1-COS(Calc!E165))+1/Val!$D$19*(1-(1-(Val!$D$19*SIN(Calc!E165))^2)^0.5))</f>
        <v>0.0013535443618279902</v>
      </c>
      <c r="H165" s="26">
        <f t="shared" si="50"/>
        <v>-5.470829186863548E-05</v>
      </c>
      <c r="I165" s="22">
        <f>Val!$D$11*(1-COS(D165))+Val!$D$14+Val!$D$13+Val!$D$12*((1-COS(Calc!E165)))+Val!$D$15</f>
        <v>0.0019988360699593546</v>
      </c>
      <c r="J165" s="22">
        <f>Val!$D$11*((1-COS(Calc!$D165))+1/Val!$D$18*(1-(1-(Val!$D$18*SIN(Calc!$D165))^2)^0.5))+Val!$D$14+Val!$D$13+Val!$D$12*((1-COS(Calc!$E165))+1/Val!$D$19*(1-(1-(Val!$D$19*SIN(Calc!$E165))^2)^0.5))+Val!$D$15</f>
        <v>0.00205354436182799</v>
      </c>
      <c r="K165" s="44">
        <f t="shared" si="51"/>
        <v>-5.4708291868635264E-05</v>
      </c>
      <c r="L165" s="50">
        <f>Val!$D$42*Val!$D$22/Val!$D$37/(1-Val!$D$39*COS(D165-Val!$D$40))</f>
        <v>88055.42121571553</v>
      </c>
      <c r="M165" s="50">
        <f>Val!$D$42*Val!$D$22/(Val!$D$11*((1-COS(Calc!D165))+1/Val!$D$18*(1-(1-(Val!$D$18*SIN(Calc!D165))^2)^0.5))/Val!$D$25+Val!$D$14/Val!$D$25+Val!$D$13/Val!$D$27+Val!$D$12*((1-COS(Calc!E165))+1/Val!$D$19*(1-(1-(Val!$D$19*SIN(Calc!E165))^2)^0.5))/Val!$D$26+Val!$D$15/Val!$D$26)</f>
        <v>83967.08017717664</v>
      </c>
      <c r="N165" s="16">
        <f t="shared" si="44"/>
        <v>0.9765230019180507</v>
      </c>
      <c r="O165" s="16">
        <f t="shared" si="45"/>
        <v>0.9321460237598147</v>
      </c>
      <c r="P165" s="16">
        <f t="shared" si="46"/>
        <v>-1.1138970393562543E-05</v>
      </c>
      <c r="Q165" s="16">
        <f t="shared" si="47"/>
        <v>-1.1150233455168744E-05</v>
      </c>
      <c r="R165" s="13">
        <f t="shared" si="40"/>
        <v>0.8119998412178526</v>
      </c>
      <c r="S165" s="13">
        <f t="shared" si="41"/>
        <v>0.834224337252455</v>
      </c>
      <c r="T165" s="13">
        <f t="shared" si="42"/>
        <v>0.5195615929385426</v>
      </c>
      <c r="U165" s="13">
        <f t="shared" si="43"/>
        <v>0.49543877400096004</v>
      </c>
      <c r="W165" s="387">
        <f>1*(M165-Val!$D$28)*PI()/4*Val!$D$2^2*(SIN(D165)+Val!$D$18/2*SIN(2*D165)/(1-Val!$D$18^2*SIN(D165)^2)^0.5)*Val!$D$4*(D165-D164)+1*(M165-Val!$D$28)*PI()/4*Val!$D$3^2*(SIN(E165)+Val!$D$19/2*SIN(2*E165)/(1-Val!$D$19^2*SIN(E165)^2)^0.5)*Val!$D$5*(E165-E164)</f>
        <v>-0.19406620696316884</v>
      </c>
    </row>
    <row r="166" spans="2:23" ht="13.5">
      <c r="B166" s="32">
        <v>161</v>
      </c>
      <c r="C166" s="32">
        <f>B166-Data!$D$10</f>
        <v>71</v>
      </c>
      <c r="D166" s="30">
        <f t="shared" si="48"/>
        <v>2.8099800957108707</v>
      </c>
      <c r="E166" s="30">
        <f t="shared" si="49"/>
        <v>1.239183768915974</v>
      </c>
      <c r="F166" s="26">
        <f>Val!$D$11*(1-COS(D166))+Val!$D$12*(1-COS(E166))</f>
        <v>0.0013099750403529173</v>
      </c>
      <c r="G166" s="26">
        <f>Val!$D$11*((1-COS(Calc!D166))+1/Val!$D$18*(1-(1-(Val!$D$18*SIN(Calc!D166))^2)^0.5))+Val!$D$12*((1-COS(Calc!E166))+1/Val!$D$19*(1-(1-(Val!$D$19*SIN(Calc!E166))^2)^0.5))</f>
        <v>0.001364694595283159</v>
      </c>
      <c r="H166" s="26">
        <f t="shared" si="50"/>
        <v>-5.471955493024168E-05</v>
      </c>
      <c r="I166" s="22">
        <f>Val!$D$11*(1-COS(D166))+Val!$D$14+Val!$D$13+Val!$D$12*((1-COS(Calc!E166)))+Val!$D$15</f>
        <v>0.002009975040352917</v>
      </c>
      <c r="J166" s="22">
        <f>Val!$D$11*((1-COS(Calc!$D166))+1/Val!$D$18*(1-(1-(Val!$D$18*SIN(Calc!$D166))^2)^0.5))+Val!$D$14+Val!$D$13+Val!$D$12*((1-COS(Calc!$E166))+1/Val!$D$19*(1-(1-(Val!$D$19*SIN(Calc!$E166))^2)^0.5))+Val!$D$15</f>
        <v>0.002064694595283159</v>
      </c>
      <c r="K166" s="44">
        <f t="shared" si="51"/>
        <v>-5.47195549302419E-05</v>
      </c>
      <c r="L166" s="50">
        <f>Val!$D$42*Val!$D$22/Val!$D$37/(1-Val!$D$39*COS(D166-Val!$D$40))</f>
        <v>87279.09668235229</v>
      </c>
      <c r="M166" s="50">
        <f>Val!$D$42*Val!$D$22/(Val!$D$11*((1-COS(Calc!D166))+1/Val!$D$18*(1-(1-(Val!$D$18*SIN(Calc!D166))^2)^0.5))/Val!$D$25+Val!$D$14/Val!$D$25+Val!$D$13/Val!$D$27+Val!$D$12*((1-COS(Calc!E166))+1/Val!$D$19*(1-(1-(Val!$D$19*SIN(Calc!E166))^2)^0.5))/Val!$D$26+Val!$D$15/Val!$D$26)</f>
        <v>83230.49958788123</v>
      </c>
      <c r="N166" s="16">
        <f t="shared" si="44"/>
        <v>0.9597462897476523</v>
      </c>
      <c r="O166" s="16">
        <f t="shared" si="45"/>
        <v>0.9161710133021574</v>
      </c>
      <c r="P166" s="16">
        <f t="shared" si="46"/>
        <v>-1.1044548953894045E-05</v>
      </c>
      <c r="Q166" s="16">
        <f t="shared" si="47"/>
        <v>-1.1055617715197185E-05</v>
      </c>
      <c r="R166" s="13">
        <f t="shared" si="40"/>
        <v>0.8165248957367492</v>
      </c>
      <c r="S166" s="13">
        <f t="shared" si="41"/>
        <v>0.8387539672362302</v>
      </c>
      <c r="T166" s="13">
        <f t="shared" si="42"/>
        <v>0.5149809730786551</v>
      </c>
      <c r="U166" s="13">
        <f t="shared" si="43"/>
        <v>0.4910926590313387</v>
      </c>
      <c r="W166" s="387">
        <f>1*(M166-Val!$D$28)*PI()/4*Val!$D$2^2*(SIN(D166)+Val!$D$18/2*SIN(2*D166)/(1-Val!$D$18^2*SIN(D166)^2)^0.5)*Val!$D$4*(D166-D165)+1*(M166-Val!$D$28)*PI()/4*Val!$D$3^2*(SIN(E166)+Val!$D$19/2*SIN(2*E166)/(1-Val!$D$19^2*SIN(E166)^2)^0.5)*Val!$D$5*(E166-E165)</f>
        <v>-0.20063465817483733</v>
      </c>
    </row>
    <row r="167" spans="2:23" ht="13.5">
      <c r="B167" s="32">
        <v>162</v>
      </c>
      <c r="C167" s="32">
        <f>B167-Data!$D$10</f>
        <v>72</v>
      </c>
      <c r="D167" s="30">
        <f t="shared" si="48"/>
        <v>2.827433388230814</v>
      </c>
      <c r="E167" s="30">
        <f t="shared" si="49"/>
        <v>1.2566370614359172</v>
      </c>
      <c r="F167" s="26">
        <f>Val!$D$11*(1-COS(D167))+Val!$D$12*(1-COS(E167))</f>
        <v>0.0013210195893068113</v>
      </c>
      <c r="G167" s="26">
        <f>Val!$D$11*((1-COS(Calc!D167))+1/Val!$D$18*(1-(1-(Val!$D$18*SIN(Calc!D167))^2)^0.5))+Val!$D$12*((1-COS(Calc!E167))+1/Val!$D$19*(1-(1-(Val!$D$19*SIN(Calc!E167))^2)^0.5))</f>
        <v>0.0013757502129983562</v>
      </c>
      <c r="H167" s="26">
        <f t="shared" si="50"/>
        <v>-5.473062369154482E-05</v>
      </c>
      <c r="I167" s="22">
        <f>Val!$D$11*(1-COS(D167))+Val!$D$14+Val!$D$13+Val!$D$12*((1-COS(Calc!E167)))+Val!$D$15</f>
        <v>0.0020210195893068114</v>
      </c>
      <c r="J167" s="22">
        <f>Val!$D$11*((1-COS(Calc!$D167))+1/Val!$D$18*(1-(1-(Val!$D$18*SIN(Calc!$D167))^2)^0.5))+Val!$D$14+Val!$D$13+Val!$D$12*((1-COS(Calc!$E167))+1/Val!$D$19*(1-(1-(Val!$D$19*SIN(Calc!$E167))^2)^0.5))+Val!$D$15</f>
        <v>0.002075750212998356</v>
      </c>
      <c r="K167" s="44">
        <f t="shared" si="51"/>
        <v>-5.473062369154439E-05</v>
      </c>
      <c r="L167" s="50">
        <f>Val!$D$42*Val!$D$22/Val!$D$37/(1-Val!$D$39*COS(D167-Val!$D$40))</f>
        <v>86516.37359970587</v>
      </c>
      <c r="M167" s="50">
        <f>Val!$D$42*Val!$D$22/(Val!$D$11*((1-COS(Calc!D167))+1/Val!$D$18*(1-(1-(Val!$D$18*SIN(Calc!D167))^2)^0.5))/Val!$D$25+Val!$D$14/Val!$D$25+Val!$D$13/Val!$D$27+Val!$D$12*((1-COS(Calc!E167))+1/Val!$D$19*(1-(1-(Val!$D$19*SIN(Calc!E167))^2)^0.5))/Val!$D$26+Val!$D$15/Val!$D$26)</f>
        <v>82508.04834378173</v>
      </c>
      <c r="N167" s="16">
        <f t="shared" si="44"/>
        <v>0.9429733287222694</v>
      </c>
      <c r="O167" s="16">
        <f t="shared" si="45"/>
        <v>0.9002072423772293</v>
      </c>
      <c r="P167" s="16">
        <f t="shared" si="46"/>
        <v>-1.0946763237623886E-05</v>
      </c>
      <c r="Q167" s="16">
        <f t="shared" si="47"/>
        <v>-1.0957583764683969E-05</v>
      </c>
      <c r="R167" s="13">
        <f t="shared" si="40"/>
        <v>0.8210115928359603</v>
      </c>
      <c r="S167" s="13">
        <f t="shared" si="41"/>
        <v>0.8432451608684762</v>
      </c>
      <c r="T167" s="13">
        <f t="shared" si="42"/>
        <v>0.5104806071236735</v>
      </c>
      <c r="U167" s="13">
        <f t="shared" si="43"/>
        <v>0.48682991275152443</v>
      </c>
      <c r="W167" s="387">
        <f>1*(M167-Val!$D$28)*PI()/4*Val!$D$2^2*(SIN(D167)+Val!$D$18/2*SIN(2*D167)/(1-Val!$D$18^2*SIN(D167)^2)^0.5)*Val!$D$4*(D167-D166)+1*(M167-Val!$D$28)*PI()/4*Val!$D$3^2*(SIN(E167)+Val!$D$19/2*SIN(2*E167)/(1-Val!$D$19^2*SIN(E167)^2)^0.5)*Val!$D$5*(E167-E166)</f>
        <v>-0.20684616707760356</v>
      </c>
    </row>
    <row r="168" spans="2:23" ht="13.5">
      <c r="B168" s="32">
        <v>163</v>
      </c>
      <c r="C168" s="32">
        <f>B168-Data!$D$10</f>
        <v>73</v>
      </c>
      <c r="D168" s="30">
        <f t="shared" si="48"/>
        <v>2.8448866807507573</v>
      </c>
      <c r="E168" s="30">
        <f t="shared" si="49"/>
        <v>1.2740903539558606</v>
      </c>
      <c r="F168" s="26">
        <f>Val!$D$11*(1-COS(D168))+Val!$D$12*(1-COS(E168))</f>
        <v>0.0013319663525444352</v>
      </c>
      <c r="G168" s="26">
        <f>Val!$D$11*((1-COS(Calc!D168))+1/Val!$D$18*(1-(1-(Val!$D$18*SIN(Calc!D168))^2)^0.5))+Val!$D$12*((1-COS(Calc!E168))+1/Val!$D$19*(1-(1-(Val!$D$19*SIN(Calc!E168))^2)^0.5))</f>
        <v>0.0013867077967630401</v>
      </c>
      <c r="H168" s="26">
        <f t="shared" si="50"/>
        <v>-5.4741444218604903E-05</v>
      </c>
      <c r="I168" s="22">
        <f>Val!$D$11*(1-COS(D168))+Val!$D$14+Val!$D$13+Val!$D$12*((1-COS(Calc!E168)))+Val!$D$15</f>
        <v>0.002031966352544435</v>
      </c>
      <c r="J168" s="22">
        <f>Val!$D$11*((1-COS(Calc!$D168))+1/Val!$D$18*(1-(1-(Val!$D$18*SIN(Calc!$D168))^2)^0.5))+Val!$D$14+Val!$D$13+Val!$D$12*((1-COS(Calc!$E168))+1/Val!$D$19*(1-(1-(Val!$D$19*SIN(Calc!$E168))^2)^0.5))+Val!$D$15</f>
        <v>0.00208670779676304</v>
      </c>
      <c r="K168" s="44">
        <f t="shared" si="51"/>
        <v>-5.474144421860469E-05</v>
      </c>
      <c r="L168" s="50">
        <f>Val!$D$42*Val!$D$22/Val!$D$37/(1-Val!$D$39*COS(D168-Val!$D$40))</f>
        <v>85767.12395166178</v>
      </c>
      <c r="M168" s="50">
        <f>Val!$D$42*Val!$D$22/(Val!$D$11*((1-COS(Calc!D168))+1/Val!$D$18*(1-(1-(Val!$D$18*SIN(Calc!D168))^2)^0.5))/Val!$D$25+Val!$D$14/Val!$D$25+Val!$D$13/Val!$D$27+Val!$D$12*((1-COS(Calc!E168))+1/Val!$D$19*(1-(1-(Val!$D$19*SIN(Calc!E168))^2)^0.5))/Val!$D$26+Val!$D$15/Val!$D$26)</f>
        <v>81799.56941380745</v>
      </c>
      <c r="N168" s="16">
        <f t="shared" si="44"/>
        <v>0.9262089147344256</v>
      </c>
      <c r="O168" s="16">
        <f t="shared" si="45"/>
        <v>0.8842587180982633</v>
      </c>
      <c r="P168" s="16">
        <f t="shared" si="46"/>
        <v>-1.0845643031227653E-05</v>
      </c>
      <c r="Q168" s="16">
        <f t="shared" si="47"/>
        <v>-1.085616259776127E-05</v>
      </c>
      <c r="R168" s="13">
        <f t="shared" si="40"/>
        <v>0.8254585658240856</v>
      </c>
      <c r="S168" s="13">
        <f t="shared" si="41"/>
        <v>0.8476965295478676</v>
      </c>
      <c r="T168" s="13">
        <f t="shared" si="42"/>
        <v>0.5060597397282092</v>
      </c>
      <c r="U168" s="13">
        <f t="shared" si="43"/>
        <v>0.4826496086164834</v>
      </c>
      <c r="W168" s="387">
        <f>1*(M168-Val!$D$28)*PI()/4*Val!$D$2^2*(SIN(D168)+Val!$D$18/2*SIN(2*D168)/(1-Val!$D$18^2*SIN(D168)^2)^0.5)*Val!$D$4*(D168-D167)+1*(M168-Val!$D$28)*PI()/4*Val!$D$3^2*(SIN(E168)+Val!$D$19/2*SIN(2*E168)/(1-Val!$D$19^2*SIN(E168)^2)^0.5)*Val!$D$5*(E168-E167)</f>
        <v>-0.21269968046653231</v>
      </c>
    </row>
    <row r="169" spans="2:23" ht="13.5">
      <c r="B169" s="32">
        <v>164</v>
      </c>
      <c r="C169" s="32">
        <f>B169-Data!$D$10</f>
        <v>74</v>
      </c>
      <c r="D169" s="30">
        <f t="shared" si="48"/>
        <v>2.8623399732707004</v>
      </c>
      <c r="E169" s="30">
        <f t="shared" si="49"/>
        <v>1.2915436464758039</v>
      </c>
      <c r="F169" s="26">
        <f>Val!$D$11*(1-COS(D169))+Val!$D$12*(1-COS(E169))</f>
        <v>0.0013428119955756629</v>
      </c>
      <c r="G169" s="26">
        <f>Val!$D$11*((1-COS(Calc!D169))+1/Val!$D$18*(1-(1-(Val!$D$18*SIN(Calc!D169))^2)^0.5))+Val!$D$12*((1-COS(Calc!E169))+1/Val!$D$19*(1-(1-(Val!$D$19*SIN(Calc!E169))^2)^0.5))</f>
        <v>0.0013975639593608014</v>
      </c>
      <c r="H169" s="26">
        <f t="shared" si="50"/>
        <v>-5.475196378513852E-05</v>
      </c>
      <c r="I169" s="22">
        <f>Val!$D$11*(1-COS(D169))+Val!$D$14+Val!$D$13+Val!$D$12*((1-COS(Calc!E169)))+Val!$D$15</f>
        <v>0.0020428119955756626</v>
      </c>
      <c r="J169" s="22">
        <f>Val!$D$11*((1-COS(Calc!$D169))+1/Val!$D$18*(1-(1-(Val!$D$18*SIN(Calc!$D169))^2)^0.5))+Val!$D$14+Val!$D$13+Val!$D$12*((1-COS(Calc!$E169))+1/Val!$D$19*(1-(1-(Val!$D$19*SIN(Calc!$E169))^2)^0.5))+Val!$D$15</f>
        <v>0.002097563959360801</v>
      </c>
      <c r="K169" s="44">
        <f t="shared" si="51"/>
        <v>-5.475196378513852E-05</v>
      </c>
      <c r="L169" s="50">
        <f>Val!$D$42*Val!$D$22/Val!$D$37/(1-Val!$D$39*COS(D169-Val!$D$40))</f>
        <v>85031.21637129156</v>
      </c>
      <c r="M169" s="50">
        <f>Val!$D$42*Val!$D$22/(Val!$D$11*((1-COS(Calc!D169))+1/Val!$D$18*(1-(1-(Val!$D$18*SIN(Calc!D169))^2)^0.5))/Val!$D$25+Val!$D$14/Val!$D$25+Val!$D$13/Val!$D$27+Val!$D$12*((1-COS(Calc!E169))+1/Val!$D$19*(1-(1-(Val!$D$19*SIN(Calc!E169))^2)^0.5))/Val!$D$26+Val!$D$15/Val!$D$26)</f>
        <v>81104.90261033355</v>
      </c>
      <c r="N169" s="16">
        <f t="shared" si="44"/>
        <v>0.9094575900119432</v>
      </c>
      <c r="O169" s="16">
        <f t="shared" si="45"/>
        <v>0.8683292120193725</v>
      </c>
      <c r="P169" s="16">
        <f t="shared" si="46"/>
        <v>-1.0741219136899908E-05</v>
      </c>
      <c r="Q169" s="16">
        <f t="shared" si="47"/>
        <v>-1.0751386481348043E-05</v>
      </c>
      <c r="R169" s="13">
        <f t="shared" si="40"/>
        <v>0.8298644601100744</v>
      </c>
      <c r="S169" s="13">
        <f t="shared" si="41"/>
        <v>0.8521066972640208</v>
      </c>
      <c r="T169" s="13">
        <f t="shared" si="42"/>
        <v>0.5017175957757541</v>
      </c>
      <c r="U169" s="13">
        <f t="shared" si="43"/>
        <v>0.4785508014562718</v>
      </c>
      <c r="W169" s="387">
        <f>1*(M169-Val!$D$28)*PI()/4*Val!$D$2^2*(SIN(D169)+Val!$D$18/2*SIN(2*D169)/(1-Val!$D$18^2*SIN(D169)^2)^0.5)*Val!$D$4*(D169-D168)+1*(M169-Val!$D$28)*PI()/4*Val!$D$3^2*(SIN(E169)+Val!$D$19/2*SIN(2*E169)/(1-Val!$D$19^2*SIN(E169)^2)^0.5)*Val!$D$5*(E169-E168)</f>
        <v>-0.21819451568039824</v>
      </c>
    </row>
    <row r="170" spans="2:23" ht="13.5">
      <c r="B170" s="32">
        <v>165</v>
      </c>
      <c r="C170" s="32">
        <f>B170-Data!$D$10</f>
        <v>75</v>
      </c>
      <c r="D170" s="30">
        <f t="shared" si="48"/>
        <v>2.8797932657906435</v>
      </c>
      <c r="E170" s="30">
        <f t="shared" si="49"/>
        <v>1.3089969389957472</v>
      </c>
      <c r="F170" s="26">
        <f>Val!$D$11*(1-COS(D170))+Val!$D$12*(1-COS(E170))</f>
        <v>0.0013535532147125628</v>
      </c>
      <c r="G170" s="26">
        <f>Val!$D$11*((1-COS(Calc!D170))+1/Val!$D$18*(1-(1-(Val!$D$18*SIN(Calc!D170))^2)^0.5))+Val!$D$12*((1-COS(Calc!E170))+1/Val!$D$19*(1-(1-(Val!$D$19*SIN(Calc!E170))^2)^0.5))</f>
        <v>0.0014083153458421495</v>
      </c>
      <c r="H170" s="26">
        <f t="shared" si="50"/>
        <v>-5.4762131129586656E-05</v>
      </c>
      <c r="I170" s="22">
        <f>Val!$D$11*(1-COS(D170))+Val!$D$14+Val!$D$13+Val!$D$12*((1-COS(Calc!E170)))+Val!$D$15</f>
        <v>0.0020535532147125625</v>
      </c>
      <c r="J170" s="22">
        <f>Val!$D$11*((1-COS(Calc!$D170))+1/Val!$D$18*(1-(1-(Val!$D$18*SIN(Calc!$D170))^2)^0.5))+Val!$D$14+Val!$D$13+Val!$D$12*((1-COS(Calc!$E170))+1/Val!$D$19*(1-(1-(Val!$D$19*SIN(Calc!$E170))^2)^0.5))+Val!$D$15</f>
        <v>0.002108315345842149</v>
      </c>
      <c r="K170" s="44">
        <f t="shared" si="51"/>
        <v>-5.4762131129586656E-05</v>
      </c>
      <c r="L170" s="50">
        <f>Val!$D$42*Val!$D$22/Val!$D$37/(1-Val!$D$39*COS(D170-Val!$D$40))</f>
        <v>84308.5165623068</v>
      </c>
      <c r="M170" s="50">
        <f>Val!$D$42*Val!$D$22/(Val!$D$11*((1-COS(Calc!D170))+1/Val!$D$18*(1-(1-(Val!$D$18*SIN(Calc!D170))^2)^0.5))/Val!$D$25+Val!$D$14/Val!$D$25+Val!$D$13/Val!$D$27+Val!$D$12*((1-COS(Calc!E170))+1/Val!$D$19*(1-(1-(Val!$D$19*SIN(Calc!E170))^2)^0.5))/Val!$D$26+Val!$D$15/Val!$D$26)</f>
        <v>80423.88505361779</v>
      </c>
      <c r="N170" s="16">
        <f t="shared" si="44"/>
        <v>0.8927236530113353</v>
      </c>
      <c r="O170" s="16">
        <f t="shared" si="45"/>
        <v>0.852422270517508</v>
      </c>
      <c r="P170" s="16">
        <f t="shared" si="46"/>
        <v>-1.063352336317042E-05</v>
      </c>
      <c r="Q170" s="16">
        <f t="shared" si="47"/>
        <v>-1.0643288938659524E-05</v>
      </c>
      <c r="R170" s="13">
        <f t="shared" si="40"/>
        <v>0.8342279336158464</v>
      </c>
      <c r="S170" s="13">
        <f t="shared" si="41"/>
        <v>0.8564743011145476</v>
      </c>
      <c r="T170" s="13">
        <f t="shared" si="42"/>
        <v>0.4974533828654253</v>
      </c>
      <c r="U170" s="13">
        <f t="shared" si="43"/>
        <v>0.47453253021639497</v>
      </c>
      <c r="W170" s="387">
        <f>1*(M170-Val!$D$28)*PI()/4*Val!$D$2^2*(SIN(D170)+Val!$D$18/2*SIN(2*D170)/(1-Val!$D$18^2*SIN(D170)^2)^0.5)*Val!$D$4*(D170-D169)+1*(M170-Val!$D$28)*PI()/4*Val!$D$3^2*(SIN(E170)+Val!$D$19/2*SIN(2*E170)/(1-Val!$D$19^2*SIN(E170)^2)^0.5)*Val!$D$5*(E170-E169)</f>
        <v>-0.22333034844846758</v>
      </c>
    </row>
    <row r="171" spans="2:23" ht="13.5">
      <c r="B171" s="32">
        <v>166</v>
      </c>
      <c r="C171" s="32">
        <f>B171-Data!$D$10</f>
        <v>76</v>
      </c>
      <c r="D171" s="30">
        <f t="shared" si="48"/>
        <v>2.897246558310587</v>
      </c>
      <c r="E171" s="30">
        <f t="shared" si="49"/>
        <v>1.3264502315156905</v>
      </c>
      <c r="F171" s="26">
        <f>Val!$D$11*(1-COS(D171))+Val!$D$12*(1-COS(E171))</f>
        <v>0.0013641867380757332</v>
      </c>
      <c r="G171" s="26">
        <f>Val!$D$11*((1-COS(Calc!D171))+1/Val!$D$18*(1-(1-(Val!$D$18*SIN(Calc!D171))^2)^0.5))+Val!$D$12*((1-COS(Calc!E171))+1/Val!$D$19*(1-(1-(Val!$D$19*SIN(Calc!E171))^2)^0.5))</f>
        <v>0.001418958634780809</v>
      </c>
      <c r="H171" s="26">
        <f t="shared" si="50"/>
        <v>-5.477189670507576E-05</v>
      </c>
      <c r="I171" s="22">
        <f>Val!$D$11*(1-COS(D171))+Val!$D$14+Val!$D$13+Val!$D$12*((1-COS(Calc!E171)))+Val!$D$15</f>
        <v>0.002064186738075733</v>
      </c>
      <c r="J171" s="22">
        <f>Val!$D$11*((1-COS(Calc!$D171))+1/Val!$D$18*(1-(1-(Val!$D$18*SIN(Calc!$D171))^2)^0.5))+Val!$D$14+Val!$D$13+Val!$D$12*((1-COS(Calc!$E171))+1/Val!$D$19*(1-(1-(Val!$D$19*SIN(Calc!$E171))^2)^0.5))+Val!$D$15</f>
        <v>0.0021189586347808084</v>
      </c>
      <c r="K171" s="44">
        <f t="shared" si="51"/>
        <v>-5.4771896705075544E-05</v>
      </c>
      <c r="L171" s="50">
        <f>Val!$D$42*Val!$D$22/Val!$D$37/(1-Val!$D$39*COS(D171-Val!$D$40))</f>
        <v>83598.88769531019</v>
      </c>
      <c r="M171" s="50">
        <f>Val!$D$42*Val!$D$22/(Val!$D$11*((1-COS(Calc!D171))+1/Val!$D$18*(1-(1-(Val!$D$18*SIN(Calc!D171))^2)^0.5))/Val!$D$25+Val!$D$14/Val!$D$25+Val!$D$13/Val!$D$27+Val!$D$12*((1-COS(Calc!E171))+1/Val!$D$19*(1-(1-(Val!$D$19*SIN(Calc!E171))^2)^0.5))/Val!$D$26+Val!$D$15/Val!$D$26)</f>
        <v>79756.35160636417</v>
      </c>
      <c r="N171" s="16">
        <f t="shared" si="44"/>
        <v>0.87601116806734</v>
      </c>
      <c r="O171" s="16">
        <f t="shared" si="45"/>
        <v>0.836541224813068</v>
      </c>
      <c r="P171" s="16">
        <f t="shared" si="46"/>
        <v>-1.0522588515215515E-05</v>
      </c>
      <c r="Q171" s="16">
        <f t="shared" si="47"/>
        <v>-1.0531904731187793E-05</v>
      </c>
      <c r="R171" s="13">
        <f t="shared" si="40"/>
        <v>0.8385476571851015</v>
      </c>
      <c r="S171" s="13">
        <f t="shared" si="41"/>
        <v>0.8607979918154077</v>
      </c>
      <c r="T171" s="13">
        <f t="shared" si="42"/>
        <v>0.49326629365000135</v>
      </c>
      <c r="U171" s="13">
        <f t="shared" si="43"/>
        <v>0.47059382052190374</v>
      </c>
      <c r="W171" s="387">
        <f>1*(M171-Val!$D$28)*PI()/4*Val!$D$2^2*(SIN(D171)+Val!$D$18/2*SIN(2*D171)/(1-Val!$D$18^2*SIN(D171)^2)^0.5)*Val!$D$4*(D171-D170)+1*(M171-Val!$D$28)*PI()/4*Val!$D$3^2*(SIN(E171)+Val!$D$19/2*SIN(2*E171)/(1-Val!$D$19^2*SIN(E171)^2)^0.5)*Val!$D$5*(E171-E170)</f>
        <v>-0.22810720094264836</v>
      </c>
    </row>
    <row r="172" spans="2:23" ht="13.5">
      <c r="B172" s="32">
        <v>167</v>
      </c>
      <c r="C172" s="32">
        <f>B172-Data!$D$10</f>
        <v>77</v>
      </c>
      <c r="D172" s="30">
        <f t="shared" si="48"/>
        <v>2.91469985083053</v>
      </c>
      <c r="E172" s="30">
        <f t="shared" si="49"/>
        <v>1.3439035240356338</v>
      </c>
      <c r="F172" s="26">
        <f>Val!$D$11*(1-COS(D172))+Val!$D$12*(1-COS(E172))</f>
        <v>0.0013747093265909487</v>
      </c>
      <c r="G172" s="26">
        <f>Val!$D$11*((1-COS(Calc!D172))+1/Val!$D$18*(1-(1-(Val!$D$18*SIN(Calc!D172))^2)^0.5))+Val!$D$12*((1-COS(Calc!E172))+1/Val!$D$19*(1-(1-(Val!$D$19*SIN(Calc!E172))^2)^0.5))</f>
        <v>0.0014294905395119968</v>
      </c>
      <c r="H172" s="26">
        <f t="shared" si="50"/>
        <v>-5.478121292104804E-05</v>
      </c>
      <c r="I172" s="22">
        <f>Val!$D$11*(1-COS(D172))+Val!$D$14+Val!$D$13+Val!$D$12*((1-COS(Calc!E172)))+Val!$D$15</f>
        <v>0.0020747093265909484</v>
      </c>
      <c r="J172" s="22">
        <f>Val!$D$11*((1-COS(Calc!$D172))+1/Val!$D$18*(1-(1-(Val!$D$18*SIN(Calc!$D172))^2)^0.5))+Val!$D$14+Val!$D$13+Val!$D$12*((1-COS(Calc!$E172))+1/Val!$D$19*(1-(1-(Val!$D$19*SIN(Calc!$E172))^2)^0.5))+Val!$D$15</f>
        <v>0.0021294905395119967</v>
      </c>
      <c r="K172" s="44">
        <f t="shared" si="51"/>
        <v>-5.4781212921048254E-05</v>
      </c>
      <c r="L172" s="50">
        <f>Val!$D$42*Val!$D$22/Val!$D$37/(1-Val!$D$39*COS(D172-Val!$D$40))</f>
        <v>82902.19077994143</v>
      </c>
      <c r="M172" s="50">
        <f>Val!$D$42*Val!$D$22/(Val!$D$11*((1-COS(Calc!D172))+1/Val!$D$18*(1-(1-(Val!$D$18*SIN(Calc!D172))^2)^0.5))/Val!$D$25+Val!$D$14/Val!$D$25+Val!$D$13/Val!$D$27+Val!$D$12*((1-COS(Calc!E172))+1/Val!$D$19*(1-(1-(Val!$D$19*SIN(Calc!E172))^2)^0.5))/Val!$D$26+Val!$D$15/Val!$D$26)</f>
        <v>79102.13527983238</v>
      </c>
      <c r="N172" s="16">
        <f t="shared" si="44"/>
        <v>0.8593239747927225</v>
      </c>
      <c r="O172" s="16">
        <f t="shared" si="45"/>
        <v>0.8206892006311033</v>
      </c>
      <c r="P172" s="16">
        <f t="shared" si="46"/>
        <v>-1.0408448384864339E-05</v>
      </c>
      <c r="Q172" s="16">
        <f t="shared" si="47"/>
        <v>-1.0417269839201743E-05</v>
      </c>
      <c r="R172" s="13">
        <f t="shared" si="40"/>
        <v>0.8428223149881946</v>
      </c>
      <c r="S172" s="13">
        <f t="shared" si="41"/>
        <v>0.8650764342039425</v>
      </c>
      <c r="T172" s="13">
        <f t="shared" si="42"/>
        <v>0.48915550803173036</v>
      </c>
      <c r="U172" s="13">
        <f t="shared" si="43"/>
        <v>0.46673368707359997</v>
      </c>
      <c r="W172" s="387">
        <f>1*(M172-Val!$D$28)*PI()/4*Val!$D$2^2*(SIN(D172)+Val!$D$18/2*SIN(2*D172)/(1-Val!$D$18^2*SIN(D172)^2)^0.5)*Val!$D$4*(D172-D171)+1*(M172-Val!$D$28)*PI()/4*Val!$D$3^2*(SIN(E172)+Val!$D$19/2*SIN(2*E172)/(1-Val!$D$19^2*SIN(E172)^2)^0.5)*Val!$D$5*(E172-E171)</f>
        <v>-0.2325254300375803</v>
      </c>
    </row>
    <row r="173" spans="2:23" ht="13.5">
      <c r="B173" s="32">
        <v>168</v>
      </c>
      <c r="C173" s="32">
        <f>B173-Data!$D$10</f>
        <v>78</v>
      </c>
      <c r="D173" s="30">
        <f t="shared" si="48"/>
        <v>2.9321531433504737</v>
      </c>
      <c r="E173" s="30">
        <f t="shared" si="49"/>
        <v>1.361356816555577</v>
      </c>
      <c r="F173" s="26">
        <f>Val!$D$11*(1-COS(D173))+Val!$D$12*(1-COS(E173))</f>
        <v>0.001385117774975813</v>
      </c>
      <c r="G173" s="26">
        <f>Val!$D$11*((1-COS(Calc!D173))+1/Val!$D$18*(1-(1-(Val!$D$18*SIN(Calc!D173))^2)^0.5))+Val!$D$12*((1-COS(Calc!E173))+1/Val!$D$19*(1-(1-(Val!$D$19*SIN(Calc!E173))^2)^0.5))</f>
        <v>0.0014399078093511985</v>
      </c>
      <c r="H173" s="26">
        <f t="shared" si="50"/>
        <v>-5.479003437538544E-05</v>
      </c>
      <c r="I173" s="22">
        <f>Val!$D$11*(1-COS(D173))+Val!$D$14+Val!$D$13+Val!$D$12*((1-COS(Calc!E173)))+Val!$D$15</f>
        <v>0.0020851177749758127</v>
      </c>
      <c r="J173" s="22">
        <f>Val!$D$11*((1-COS(Calc!$D173))+1/Val!$D$18*(1-(1-(Val!$D$18*SIN(Calc!$D173))^2)^0.5))+Val!$D$14+Val!$D$13+Val!$D$12*((1-COS(Calc!$E173))+1/Val!$D$19*(1-(1-(Val!$D$19*SIN(Calc!$E173))^2)^0.5))+Val!$D$15</f>
        <v>0.002139907809351198</v>
      </c>
      <c r="K173" s="44">
        <f t="shared" si="51"/>
        <v>-5.4790034375385224E-05</v>
      </c>
      <c r="L173" s="50">
        <f>Val!$D$42*Val!$D$22/Val!$D$37/(1-Val!$D$39*COS(D173-Val!$D$40))</f>
        <v>82218.28501399654</v>
      </c>
      <c r="M173" s="50">
        <f>Val!$D$42*Val!$D$22/(Val!$D$11*((1-COS(Calc!D173))+1/Val!$D$18*(1-(1-(Val!$D$18*SIN(Calc!D173))^2)^0.5))/Val!$D$25+Val!$D$14/Val!$D$25+Val!$D$13/Val!$D$27+Val!$D$12*((1-COS(Calc!E173))+1/Val!$D$19*(1-(1-(Val!$D$19*SIN(Calc!E173))^2)^0.5))/Val!$D$26+Val!$D$15/Val!$D$26)</f>
        <v>78461.06761287976</v>
      </c>
      <c r="N173" s="16">
        <f t="shared" si="44"/>
        <v>0.8426656972246431</v>
      </c>
      <c r="O173" s="16">
        <f t="shared" si="45"/>
        <v>0.8048691275078367</v>
      </c>
      <c r="P173" s="16">
        <f t="shared" si="46"/>
        <v>-1.029113774030587E-05</v>
      </c>
      <c r="Q173" s="16">
        <f t="shared" si="47"/>
        <v>-1.029942144080702E-05</v>
      </c>
      <c r="R173" s="13">
        <f t="shared" si="40"/>
        <v>0.8470506049229495</v>
      </c>
      <c r="S173" s="13">
        <f t="shared" si="41"/>
        <v>0.8693083077339849</v>
      </c>
      <c r="T173" s="13">
        <f t="shared" si="42"/>
        <v>0.4851201952222703</v>
      </c>
      <c r="U173" s="13">
        <f t="shared" si="43"/>
        <v>0.462951135884533</v>
      </c>
      <c r="W173" s="387">
        <f>1*(M173-Val!$D$28)*PI()/4*Val!$D$2^2*(SIN(D173)+Val!$D$18/2*SIN(2*D173)/(1-Val!$D$18^2*SIN(D173)^2)^0.5)*Val!$D$4*(D173-D172)+1*(M173-Val!$D$28)*PI()/4*Val!$D$3^2*(SIN(E173)+Val!$D$19/2*SIN(2*E173)/(1-Val!$D$19^2*SIN(E173)^2)^0.5)*Val!$D$5*(E173-E172)</f>
        <v>-0.23658571578023202</v>
      </c>
    </row>
    <row r="174" spans="2:23" ht="13.5">
      <c r="B174" s="32">
        <v>169</v>
      </c>
      <c r="C174" s="32">
        <f>B174-Data!$D$10</f>
        <v>79</v>
      </c>
      <c r="D174" s="30">
        <f t="shared" si="48"/>
        <v>2.949606435870417</v>
      </c>
      <c r="E174" s="30">
        <f t="shared" si="49"/>
        <v>1.3788101090755203</v>
      </c>
      <c r="F174" s="26">
        <f>Val!$D$11*(1-COS(D174))+Val!$D$12*(1-COS(E174))</f>
        <v>0.001395408912716119</v>
      </c>
      <c r="G174" s="26">
        <f>Val!$D$11*((1-COS(Calc!D174))+1/Val!$D$18*(1-(1-(Val!$D$18*SIN(Calc!D174))^2)^0.5))+Val!$D$12*((1-COS(Calc!E174))+1/Val!$D$19*(1-(1-(Val!$D$19*SIN(Calc!E174))^2)^0.5))</f>
        <v>0.0014502072307920055</v>
      </c>
      <c r="H174" s="26">
        <f t="shared" si="50"/>
        <v>-5.479831807588659E-05</v>
      </c>
      <c r="I174" s="22">
        <f>Val!$D$11*(1-COS(D174))+Val!$D$14+Val!$D$13+Val!$D$12*((1-COS(Calc!E174)))+Val!$D$15</f>
        <v>0.0020954089127161184</v>
      </c>
      <c r="J174" s="22">
        <f>Val!$D$11*((1-COS(Calc!$D174))+1/Val!$D$18*(1-(1-(Val!$D$18*SIN(Calc!$D174))^2)^0.5))+Val!$D$14+Val!$D$13+Val!$D$12*((1-COS(Calc!$E174))+1/Val!$D$19*(1-(1-(Val!$D$19*SIN(Calc!$E174))^2)^0.5))+Val!$D$15</f>
        <v>0.002150207230792005</v>
      </c>
      <c r="K174" s="44">
        <f t="shared" si="51"/>
        <v>-5.479831807588681E-05</v>
      </c>
      <c r="L174" s="50">
        <f>Val!$D$42*Val!$D$22/Val!$D$37/(1-Val!$D$39*COS(D174-Val!$D$40))</f>
        <v>81547.02811057844</v>
      </c>
      <c r="M174" s="50">
        <f>Val!$D$42*Val!$D$22/(Val!$D$11*((1-COS(Calc!D174))+1/Val!$D$18*(1-(1-(Val!$D$18*SIN(Calc!D174))^2)^0.5))/Val!$D$25+Val!$D$14/Val!$D$25+Val!$D$13/Val!$D$27+Val!$D$12*((1-COS(Calc!E174))+1/Val!$D$19*(1-(1-(Val!$D$19*SIN(Calc!E174))^2)^0.5))/Val!$D$26+Val!$D$15/Val!$D$26)</f>
        <v>77832.9790252882</v>
      </c>
      <c r="N174" s="16">
        <f t="shared" si="44"/>
        <v>0.8260397527147769</v>
      </c>
      <c r="O174" s="16">
        <f t="shared" si="45"/>
        <v>0.7890837477450448</v>
      </c>
      <c r="P174" s="16">
        <f t="shared" si="46"/>
        <v>-1.0170692315499517E-05</v>
      </c>
      <c r="Q174" s="16">
        <f t="shared" si="47"/>
        <v>-1.0178397889621651E-05</v>
      </c>
      <c r="R174" s="13">
        <f t="shared" si="40"/>
        <v>0.8512312390112913</v>
      </c>
      <c r="S174" s="13">
        <f t="shared" si="41"/>
        <v>0.8734923069624666</v>
      </c>
      <c r="T174" s="13">
        <f t="shared" si="42"/>
        <v>0.48115951567300635</v>
      </c>
      <c r="U174" s="13">
        <f t="shared" si="43"/>
        <v>0.45924516636476703</v>
      </c>
      <c r="W174" s="387">
        <f>1*(M174-Val!$D$28)*PI()/4*Val!$D$2^2*(SIN(D174)+Val!$D$18/2*SIN(2*D174)/(1-Val!$D$18^2*SIN(D174)^2)^0.5)*Val!$D$4*(D174-D173)+1*(M174-Val!$D$28)*PI()/4*Val!$D$3^2*(SIN(E174)+Val!$D$19/2*SIN(2*E174)/(1-Val!$D$19^2*SIN(E174)^2)^0.5)*Val!$D$5*(E174-E173)</f>
        <v>-0.2402890500697695</v>
      </c>
    </row>
    <row r="175" spans="2:23" ht="13.5">
      <c r="B175" s="32">
        <v>170</v>
      </c>
      <c r="C175" s="32">
        <f>B175-Data!$D$10</f>
        <v>80</v>
      </c>
      <c r="D175" s="30">
        <f t="shared" si="48"/>
        <v>2.9670597283903604</v>
      </c>
      <c r="E175" s="30">
        <f t="shared" si="49"/>
        <v>1.3962634015954636</v>
      </c>
      <c r="F175" s="26">
        <f>Val!$D$11*(1-COS(D175))+Val!$D$12*(1-COS(E175))</f>
        <v>0.0014055796050316185</v>
      </c>
      <c r="G175" s="26">
        <f>Val!$D$11*((1-COS(Calc!D175))+1/Val!$D$18*(1-(1-(Val!$D$18*SIN(Calc!D175))^2)^0.5))+Val!$D$12*((1-COS(Calc!E175))+1/Val!$D$19*(1-(1-(Val!$D$19*SIN(Calc!E175))^2)^0.5))</f>
        <v>0.0014603856286816272</v>
      </c>
      <c r="H175" s="26">
        <f t="shared" si="50"/>
        <v>-5.4806023650008726E-05</v>
      </c>
      <c r="I175" s="22">
        <f>Val!$D$11*(1-COS(D175))+Val!$D$14+Val!$D$13+Val!$D$12*((1-COS(Calc!E175)))+Val!$D$15</f>
        <v>0.002105579605031618</v>
      </c>
      <c r="J175" s="22">
        <f>Val!$D$11*((1-COS(Calc!$D175))+1/Val!$D$18*(1-(1-(Val!$D$18*SIN(Calc!$D175))^2)^0.5))+Val!$D$14+Val!$D$13+Val!$D$12*((1-COS(Calc!$E175))+1/Val!$D$19*(1-(1-(Val!$D$19*SIN(Calc!$E175))^2)^0.5))+Val!$D$15</f>
        <v>0.002160385628681627</v>
      </c>
      <c r="K175" s="44">
        <f t="shared" si="51"/>
        <v>-5.480602365000916E-05</v>
      </c>
      <c r="L175" s="50">
        <f>Val!$D$42*Val!$D$22/Val!$D$37/(1-Val!$D$39*COS(D175-Val!$D$40))</f>
        <v>80888.27660431151</v>
      </c>
      <c r="M175" s="50">
        <f>Val!$D$42*Val!$D$22/(Val!$D$11*((1-COS(Calc!D175))+1/Val!$D$18*(1-(1-(Val!$D$18*SIN(Calc!D175))^2)^0.5))/Val!$D$25+Val!$D$14/Val!$D$25+Val!$D$13/Val!$D$27+Val!$D$12*((1-COS(Calc!E175))+1/Val!$D$19*(1-(1-(Val!$D$19*SIN(Calc!E175))^2)^0.5))/Val!$D$26+Val!$D$15/Val!$D$26)</f>
        <v>77217.69914668873</v>
      </c>
      <c r="N175" s="16">
        <f t="shared" si="44"/>
        <v>0.8094493605608776</v>
      </c>
      <c r="O175" s="16">
        <f t="shared" si="45"/>
        <v>0.7733356250221756</v>
      </c>
      <c r="P175" s="16">
        <f t="shared" si="46"/>
        <v>-1.0047148799288003E-05</v>
      </c>
      <c r="Q175" s="16">
        <f t="shared" si="47"/>
        <v>-1.0054238691136527E-05</v>
      </c>
      <c r="R175" s="13">
        <f t="shared" si="40"/>
        <v>0.8553629437915783</v>
      </c>
      <c r="S175" s="13">
        <f t="shared" si="41"/>
        <v>0.8776271420269515</v>
      </c>
      <c r="T175" s="13">
        <f t="shared" si="42"/>
        <v>0.4772726228818374</v>
      </c>
      <c r="U175" s="13">
        <f t="shared" si="43"/>
        <v>0.4556147732621659</v>
      </c>
      <c r="W175" s="387">
        <f>1*(M175-Val!$D$28)*PI()/4*Val!$D$2^2*(SIN(D175)+Val!$D$18/2*SIN(2*D175)/(1-Val!$D$18^2*SIN(D175)^2)^0.5)*Val!$D$4*(D175-D174)+1*(M175-Val!$D$28)*PI()/4*Val!$D$3^2*(SIN(E175)+Val!$D$19/2*SIN(2*E175)/(1-Val!$D$19^2*SIN(E175)^2)^0.5)*Val!$D$5*(E175-E174)</f>
        <v>-0.24363672554784035</v>
      </c>
    </row>
    <row r="176" spans="2:23" ht="13.5">
      <c r="B176" s="32">
        <v>171</v>
      </c>
      <c r="C176" s="32">
        <f>B176-Data!$D$10</f>
        <v>81</v>
      </c>
      <c r="D176" s="30">
        <f t="shared" si="48"/>
        <v>2.9845130209103035</v>
      </c>
      <c r="E176" s="30">
        <f t="shared" si="49"/>
        <v>1.413716694115407</v>
      </c>
      <c r="F176" s="26">
        <f>Val!$D$11*(1-COS(D176))+Val!$D$12*(1-COS(E176))</f>
        <v>0.0014156267538309065</v>
      </c>
      <c r="G176" s="26">
        <f>Val!$D$11*((1-COS(Calc!D176))+1/Val!$D$18*(1-(1-(Val!$D$18*SIN(Calc!D176))^2)^0.5))+Val!$D$12*((1-COS(Calc!E176))+1/Val!$D$19*(1-(1-(Val!$D$19*SIN(Calc!E176))^2)^0.5))</f>
        <v>0.0014704398673727637</v>
      </c>
      <c r="H176" s="26">
        <f t="shared" si="50"/>
        <v>-5.481311354185725E-05</v>
      </c>
      <c r="I176" s="22">
        <f>Val!$D$11*(1-COS(D176))+Val!$D$14+Val!$D$13+Val!$D$12*((1-COS(Calc!E176)))+Val!$D$15</f>
        <v>0.002115626753830906</v>
      </c>
      <c r="J176" s="22">
        <f>Val!$D$11*((1-COS(Calc!$D176))+1/Val!$D$18*(1-(1-(Val!$D$18*SIN(Calc!$D176))^2)^0.5))+Val!$D$14+Val!$D$13+Val!$D$12*((1-COS(Calc!$E176))+1/Val!$D$19*(1-(1-(Val!$D$19*SIN(Calc!$E176))^2)^0.5))+Val!$D$15</f>
        <v>0.002170439867372763</v>
      </c>
      <c r="K176" s="44">
        <f t="shared" si="51"/>
        <v>-5.481311354185725E-05</v>
      </c>
      <c r="L176" s="50">
        <f>Val!$D$42*Val!$D$22/Val!$D$37/(1-Val!$D$39*COS(D176-Val!$D$40))</f>
        <v>80241.8861376277</v>
      </c>
      <c r="M176" s="50">
        <f>Val!$D$42*Val!$D$22/(Val!$D$11*((1-COS(Calc!D176))+1/Val!$D$18*(1-(1-(Val!$D$18*SIN(Calc!D176))^2)^0.5))/Val!$D$25+Val!$D$14/Val!$D$25+Val!$D$13/Val!$D$27+Val!$D$12*((1-COS(Calc!E176))+1/Val!$D$19*(1-(1-(Val!$D$19*SIN(Calc!E176))^2)^0.5))/Val!$D$26+Val!$D$15/Val!$D$26)</f>
        <v>76615.05712235734</v>
      </c>
      <c r="N176" s="16">
        <f t="shared" si="44"/>
        <v>0.7928975503805422</v>
      </c>
      <c r="O176" s="16">
        <f t="shared" si="45"/>
        <v>0.7576271526703051</v>
      </c>
      <c r="P176" s="16">
        <f t="shared" si="46"/>
        <v>-9.920544824223347E-06</v>
      </c>
      <c r="Q176" s="16">
        <f t="shared" si="47"/>
        <v>-9.926984477812801E-06</v>
      </c>
      <c r="R176" s="13">
        <f t="shared" si="40"/>
        <v>0.8594444607065096</v>
      </c>
      <c r="S176" s="13">
        <f t="shared" si="41"/>
        <v>0.8817115391135695</v>
      </c>
      <c r="T176" s="13">
        <f t="shared" si="42"/>
        <v>0.47345866508237616</v>
      </c>
      <c r="U176" s="13">
        <f t="shared" si="43"/>
        <v>0.452058948466708</v>
      </c>
      <c r="W176" s="387">
        <f>1*(M176-Val!$D$28)*PI()/4*Val!$D$2^2*(SIN(D176)+Val!$D$18/2*SIN(2*D176)/(1-Val!$D$18^2*SIN(D176)^2)^0.5)*Val!$D$4*(D176-D175)+1*(M176-Val!$D$28)*PI()/4*Val!$D$3^2*(SIN(E176)+Val!$D$19/2*SIN(2*E176)/(1-Val!$D$19^2*SIN(E176)^2)^0.5)*Val!$D$5*(E176-E175)</f>
        <v>-0.2466303246989548</v>
      </c>
    </row>
    <row r="177" spans="2:23" ht="13.5">
      <c r="B177" s="32">
        <v>172</v>
      </c>
      <c r="C177" s="32">
        <f>B177-Data!$D$10</f>
        <v>82</v>
      </c>
      <c r="D177" s="30">
        <f t="shared" si="48"/>
        <v>3.001966313430247</v>
      </c>
      <c r="E177" s="30">
        <f t="shared" si="49"/>
        <v>1.4311699866353502</v>
      </c>
      <c r="F177" s="26">
        <f>Val!$D$11*(1-COS(D177))+Val!$D$12*(1-COS(E177))</f>
        <v>0.0014255472986551298</v>
      </c>
      <c r="G177" s="26">
        <f>Val!$D$11*((1-COS(Calc!D177))+1/Val!$D$18*(1-(1-(Val!$D$18*SIN(Calc!D177))^2)^0.5))+Val!$D$12*((1-COS(Calc!E177))+1/Val!$D$19*(1-(1-(Val!$D$19*SIN(Calc!E177))^2)^0.5))</f>
        <v>0.0014803668518505765</v>
      </c>
      <c r="H177" s="26">
        <f t="shared" si="50"/>
        <v>-5.4819553195446704E-05</v>
      </c>
      <c r="I177" s="22">
        <f>Val!$D$11*(1-COS(D177))+Val!$D$14+Val!$D$13+Val!$D$12*((1-COS(Calc!E177)))+Val!$D$15</f>
        <v>0.0021255472986551295</v>
      </c>
      <c r="J177" s="22">
        <f>Val!$D$11*((1-COS(Calc!$D177))+1/Val!$D$18*(1-(1-(Val!$D$18*SIN(Calc!$D177))^2)^0.5))+Val!$D$14+Val!$D$13+Val!$D$12*((1-COS(Calc!$E177))+1/Val!$D$19*(1-(1-(Val!$D$19*SIN(Calc!$E177))^2)^0.5))+Val!$D$15</f>
        <v>0.002180366851850576</v>
      </c>
      <c r="K177" s="44">
        <f t="shared" si="51"/>
        <v>-5.4819553195446704E-05</v>
      </c>
      <c r="L177" s="50">
        <f>Val!$D$42*Val!$D$22/Val!$D$37/(1-Val!$D$39*COS(D177-Val!$D$40))</f>
        <v>79607.71172810215</v>
      </c>
      <c r="M177" s="50">
        <f>Val!$D$42*Val!$D$22/(Val!$D$11*((1-COS(Calc!D177))+1/Val!$D$18*(1-(1-(Val!$D$18*SIN(Calc!D177))^2)^0.5))/Val!$D$25+Val!$D$14/Val!$D$25+Val!$D$13/Val!$D$27+Val!$D$12*((1-COS(Calc!E177))+1/Val!$D$19*(1-(1-(Val!$D$19*SIN(Calc!E177))^2)^0.5))/Val!$D$26+Val!$D$15/Val!$D$26)</f>
        <v>76024.88189711326</v>
      </c>
      <c r="N177" s="16">
        <f t="shared" si="44"/>
        <v>0.7763871702263737</v>
      </c>
      <c r="O177" s="16">
        <f t="shared" si="45"/>
        <v>0.7419605616169667</v>
      </c>
      <c r="P177" s="16">
        <f t="shared" si="46"/>
        <v>-9.790918955102958E-06</v>
      </c>
      <c r="Q177" s="16">
        <f t="shared" si="47"/>
        <v>-9.796676982997722E-06</v>
      </c>
      <c r="R177" s="13">
        <f t="shared" si="40"/>
        <v>0.8634745464864946</v>
      </c>
      <c r="S177" s="13">
        <f t="shared" si="41"/>
        <v>0.8857442409148333</v>
      </c>
      <c r="T177" s="13">
        <f t="shared" si="42"/>
        <v>0.46971678682133444</v>
      </c>
      <c r="U177" s="13">
        <f t="shared" si="43"/>
        <v>0.44857668268559847</v>
      </c>
      <c r="W177" s="387">
        <f>1*(M177-Val!$D$28)*PI()/4*Val!$D$2^2*(SIN(D177)+Val!$D$18/2*SIN(2*D177)/(1-Val!$D$18^2*SIN(D177)^2)^0.5)*Val!$D$4*(D177-D176)+1*(M177-Val!$D$28)*PI()/4*Val!$D$3^2*(SIN(E177)+Val!$D$19/2*SIN(2*E177)/(1-Val!$D$19^2*SIN(E177)^2)^0.5)*Val!$D$5*(E177-E176)</f>
        <v>-0.24927170916018523</v>
      </c>
    </row>
    <row r="178" spans="2:23" ht="13.5">
      <c r="B178" s="32">
        <v>173</v>
      </c>
      <c r="C178" s="32">
        <f>B178-Data!$D$10</f>
        <v>83</v>
      </c>
      <c r="D178" s="30">
        <f t="shared" si="48"/>
        <v>3.01941960595019</v>
      </c>
      <c r="E178" s="30">
        <f t="shared" si="49"/>
        <v>1.4486232791552935</v>
      </c>
      <c r="F178" s="26">
        <f>Val!$D$11*(1-COS(D178))+Val!$D$12*(1-COS(E178))</f>
        <v>0.0014353382176102328</v>
      </c>
      <c r="G178" s="26">
        <f>Val!$D$11*((1-COS(Calc!D178))+1/Val!$D$18*(1-(1-(Val!$D$18*SIN(Calc!D178))^2)^0.5))+Val!$D$12*((1-COS(Calc!E178))+1/Val!$D$19*(1-(1-(Val!$D$19*SIN(Calc!E178))^2)^0.5))</f>
        <v>0.0014901635288335742</v>
      </c>
      <c r="H178" s="26">
        <f t="shared" si="50"/>
        <v>-5.482531122334147E-05</v>
      </c>
      <c r="I178" s="22">
        <f>Val!$D$11*(1-COS(D178))+Val!$D$14+Val!$D$13+Val!$D$12*((1-COS(Calc!E178)))+Val!$D$15</f>
        <v>0.0021353382176102324</v>
      </c>
      <c r="J178" s="22">
        <f>Val!$D$11*((1-COS(Calc!$D178))+1/Val!$D$18*(1-(1-(Val!$D$18*SIN(Calc!$D178))^2)^0.5))+Val!$D$14+Val!$D$13+Val!$D$12*((1-COS(Calc!$E178))+1/Val!$D$19*(1-(1-(Val!$D$19*SIN(Calc!$E178))^2)^0.5))+Val!$D$15</f>
        <v>0.002190163528833574</v>
      </c>
      <c r="K178" s="44">
        <f t="shared" si="51"/>
        <v>-5.482531122334147E-05</v>
      </c>
      <c r="L178" s="50">
        <f>Val!$D$42*Val!$D$22/Val!$D$37/(1-Val!$D$39*COS(D178-Val!$D$40))</f>
        <v>78985.60801778876</v>
      </c>
      <c r="M178" s="50">
        <f>Val!$D$42*Val!$D$22/(Val!$D$11*((1-COS(Calc!D178))+1/Val!$D$18*(1-(1-(Val!$D$18*SIN(Calc!D178))^2)^0.5))/Val!$D$25+Val!$D$14/Val!$D$25+Val!$D$13/Val!$D$27+Val!$D$12*((1-COS(Calc!E178))+1/Val!$D$19*(1-(1-(Val!$D$19*SIN(Calc!E178))^2)^0.5))/Val!$D$26+Val!$D$15/Val!$D$26)</f>
        <v>75447.00247850719</v>
      </c>
      <c r="N178" s="16">
        <f t="shared" si="44"/>
        <v>0.7599208944447879</v>
      </c>
      <c r="O178" s="16">
        <f t="shared" si="45"/>
        <v>0.72633792801154</v>
      </c>
      <c r="P178" s="16">
        <f t="shared" si="46"/>
        <v>-9.658310677221425E-06</v>
      </c>
      <c r="Q178" s="16">
        <f t="shared" si="47"/>
        <v>-9.663359013727633E-06</v>
      </c>
      <c r="R178" s="13">
        <f t="shared" si="40"/>
        <v>0.867451973528364</v>
      </c>
      <c r="S178" s="13">
        <f t="shared" si="41"/>
        <v>0.8897240070768571</v>
      </c>
      <c r="T178" s="13">
        <f t="shared" si="42"/>
        <v>0.46604613042970144</v>
      </c>
      <c r="U178" s="13">
        <f t="shared" si="43"/>
        <v>0.44516696699618236</v>
      </c>
      <c r="W178" s="387">
        <f>1*(M178-Val!$D$28)*PI()/4*Val!$D$2^2*(SIN(D178)+Val!$D$18/2*SIN(2*D178)/(1-Val!$D$18^2*SIN(D178)^2)^0.5)*Val!$D$4*(D178-D177)+1*(M178-Val!$D$28)*PI()/4*Val!$D$3^2*(SIN(E178)+Val!$D$19/2*SIN(2*E178)/(1-Val!$D$19^2*SIN(E178)^2)^0.5)*Val!$D$5*(E178-E177)</f>
        <v>-0.2515630092391885</v>
      </c>
    </row>
    <row r="179" spans="2:23" ht="13.5">
      <c r="B179" s="32">
        <v>174</v>
      </c>
      <c r="C179" s="32">
        <f>B179-Data!$D$10</f>
        <v>84</v>
      </c>
      <c r="D179" s="30">
        <f t="shared" si="48"/>
        <v>3.036872898470133</v>
      </c>
      <c r="E179" s="30">
        <f t="shared" si="49"/>
        <v>1.4660765716752369</v>
      </c>
      <c r="F179" s="26">
        <f>Val!$D$11*(1-COS(D179))+Val!$D$12*(1-COS(E179))</f>
        <v>0.0014449965282874542</v>
      </c>
      <c r="G179" s="26">
        <f>Val!$D$11*((1-COS(Calc!D179))+1/Val!$D$18*(1-(1-(Val!$D$18*SIN(Calc!D179))^2)^0.5))+Val!$D$12*((1-COS(Calc!E179))+1/Val!$D$19*(1-(1-(Val!$D$19*SIN(Calc!E179))^2)^0.5))</f>
        <v>0.0014998268878473019</v>
      </c>
      <c r="H179" s="26">
        <f t="shared" si="50"/>
        <v>-5.483035955984768E-05</v>
      </c>
      <c r="I179" s="22">
        <f>Val!$D$11*(1-COS(D179))+Val!$D$14+Val!$D$13+Val!$D$12*((1-COS(Calc!E179)))+Val!$D$15</f>
        <v>0.002144996528287454</v>
      </c>
      <c r="J179" s="22">
        <f>Val!$D$11*((1-COS(Calc!$D179))+1/Val!$D$18*(1-(1-(Val!$D$18*SIN(Calc!$D179))^2)^0.5))+Val!$D$14+Val!$D$13+Val!$D$12*((1-COS(Calc!$E179))+1/Val!$D$19*(1-(1-(Val!$D$19*SIN(Calc!$E179))^2)^0.5))+Val!$D$15</f>
        <v>0.0021998268878473015</v>
      </c>
      <c r="K179" s="44">
        <f t="shared" si="51"/>
        <v>-5.483035955984768E-05</v>
      </c>
      <c r="L179" s="50">
        <f>Val!$D$42*Val!$D$22/Val!$D$37/(1-Val!$D$39*COS(D179-Val!$D$40))</f>
        <v>78375.42950547462</v>
      </c>
      <c r="M179" s="50">
        <f>Val!$D$42*Val!$D$22/(Val!$D$11*((1-COS(Calc!D179))+1/Val!$D$18*(1-(1-(Val!$D$18*SIN(Calc!D179))^2)^0.5))/Val!$D$25+Val!$D$14/Val!$D$25+Val!$D$13/Val!$D$27+Val!$D$12*((1-COS(Calc!E179))+1/Val!$D$19*(1-(1-(Val!$D$19*SIN(Calc!E179))^2)^0.5))/Val!$D$26+Val!$D$15/Val!$D$26)</f>
        <v>74881.24818044367</v>
      </c>
      <c r="N179" s="16">
        <f t="shared" si="44"/>
        <v>0.7435012312801893</v>
      </c>
      <c r="O179" s="16">
        <f t="shared" si="45"/>
        <v>0.7107611805387182</v>
      </c>
      <c r="P179" s="16">
        <f t="shared" si="46"/>
        <v>-9.522760384346289E-06</v>
      </c>
      <c r="Q179" s="16">
        <f t="shared" si="47"/>
        <v>-9.527074422499907E-06</v>
      </c>
      <c r="R179" s="13">
        <f t="shared" si="40"/>
        <v>0.8713755302693107</v>
      </c>
      <c r="S179" s="13">
        <f t="shared" si="41"/>
        <v>0.8936496146355286</v>
      </c>
      <c r="T179" s="13">
        <f t="shared" si="42"/>
        <v>0.46244583739313566</v>
      </c>
      <c r="U179" s="13">
        <f t="shared" si="43"/>
        <v>0.44182879428341304</v>
      </c>
      <c r="W179" s="387">
        <f>1*(M179-Val!$D$28)*PI()/4*Val!$D$2^2*(SIN(D179)+Val!$D$18/2*SIN(2*D179)/(1-Val!$D$18^2*SIN(D179)^2)^0.5)*Val!$D$4*(D179-D178)+1*(M179-Val!$D$28)*PI()/4*Val!$D$3^2*(SIN(E179)+Val!$D$19/2*SIN(2*E179)/(1-Val!$D$19^2*SIN(E179)^2)^0.5)*Val!$D$5*(E179-E178)</f>
        <v>-0.2535066136393797</v>
      </c>
    </row>
    <row r="180" spans="2:23" ht="13.5">
      <c r="B180" s="32">
        <v>175</v>
      </c>
      <c r="C180" s="32">
        <f>B180-Data!$D$10</f>
        <v>85</v>
      </c>
      <c r="D180" s="30">
        <f t="shared" si="48"/>
        <v>3.0543261909900767</v>
      </c>
      <c r="E180" s="30">
        <f t="shared" si="49"/>
        <v>1.4835298641951802</v>
      </c>
      <c r="F180" s="26">
        <f>Val!$D$11*(1-COS(D180))+Val!$D$12*(1-COS(E180))</f>
        <v>0.0014545192886718005</v>
      </c>
      <c r="G180" s="26">
        <f>Val!$D$11*((1-COS(Calc!D180))+1/Val!$D$18*(1-(1-(Val!$D$18*SIN(Calc!D180))^2)^0.5))+Val!$D$12*((1-COS(Calc!E180))+1/Val!$D$19*(1-(1-(Val!$D$19*SIN(Calc!E180))^2)^0.5))</f>
        <v>0.0015093539622698018</v>
      </c>
      <c r="H180" s="26">
        <f t="shared" si="50"/>
        <v>-5.4834673598001295E-05</v>
      </c>
      <c r="I180" s="22">
        <f>Val!$D$11*(1-COS(D180))+Val!$D$14+Val!$D$13+Val!$D$12*((1-COS(Calc!E180)))+Val!$D$15</f>
        <v>0.0021545192886718</v>
      </c>
      <c r="J180" s="22">
        <f>Val!$D$11*((1-COS(Calc!$D180))+1/Val!$D$18*(1-(1-(Val!$D$18*SIN(Calc!$D180))^2)^0.5))+Val!$D$14+Val!$D$13+Val!$D$12*((1-COS(Calc!$E180))+1/Val!$D$19*(1-(1-(Val!$D$19*SIN(Calc!$E180))^2)^0.5))+Val!$D$15</f>
        <v>0.0022093539622698014</v>
      </c>
      <c r="K180" s="44">
        <f t="shared" si="51"/>
        <v>-5.4834673598001295E-05</v>
      </c>
      <c r="L180" s="50">
        <f>Val!$D$42*Val!$D$22/Val!$D$37/(1-Val!$D$39*COS(D180-Val!$D$40))</f>
        <v>77777.03076274174</v>
      </c>
      <c r="M180" s="50">
        <f>Val!$D$42*Val!$D$22/(Val!$D$11*((1-COS(Calc!D180))+1/Val!$D$18*(1-(1-(Val!$D$18*SIN(Calc!D180))^2)^0.5))/Val!$D$25+Val!$D$14/Val!$D$25+Val!$D$13/Val!$D$27+Val!$D$12*((1-COS(Calc!E180))+1/Val!$D$19*(1-(1-(Val!$D$19*SIN(Calc!E180))^2)^0.5))/Val!$D$26+Val!$D$15/Val!$D$26)</f>
        <v>74327.44884833724</v>
      </c>
      <c r="N180" s="16">
        <f t="shared" si="44"/>
        <v>0.7271305302268912</v>
      </c>
      <c r="O180" s="16">
        <f t="shared" si="45"/>
        <v>0.6952321074307394</v>
      </c>
      <c r="P180" s="16">
        <f t="shared" si="46"/>
        <v>-9.38430936640866E-06</v>
      </c>
      <c r="Q180" s="16">
        <f t="shared" si="47"/>
        <v>-9.387868078091204E-06</v>
      </c>
      <c r="R180" s="13">
        <f t="shared" si="40"/>
        <v>0.8752440215559434</v>
      </c>
      <c r="S180" s="13">
        <f t="shared" si="41"/>
        <v>0.897519858441214</v>
      </c>
      <c r="T180" s="13">
        <f t="shared" si="42"/>
        <v>0.45891504962681434</v>
      </c>
      <c r="U180" s="13">
        <f t="shared" si="43"/>
        <v>0.43856116056836175</v>
      </c>
      <c r="W180" s="387">
        <f>1*(M180-Val!$D$28)*PI()/4*Val!$D$2^2*(SIN(D180)+Val!$D$18/2*SIN(2*D180)/(1-Val!$D$18^2*SIN(D180)^2)^0.5)*Val!$D$4*(D180-D179)+1*(M180-Val!$D$28)*PI()/4*Val!$D$3^2*(SIN(E180)+Val!$D$19/2*SIN(2*E180)/(1-Val!$D$19^2*SIN(E180)^2)^0.5)*Val!$D$5*(E180-E179)</f>
        <v>-0.2551051593909256</v>
      </c>
    </row>
    <row r="181" spans="2:23" ht="13.5">
      <c r="B181" s="32">
        <v>176</v>
      </c>
      <c r="C181" s="32">
        <f>B181-Data!$D$10</f>
        <v>86</v>
      </c>
      <c r="D181" s="30">
        <f t="shared" si="48"/>
        <v>3.07177948351002</v>
      </c>
      <c r="E181" s="30">
        <f t="shared" si="49"/>
        <v>1.5009831567151235</v>
      </c>
      <c r="F181" s="26">
        <f>Val!$D$11*(1-COS(D181))+Val!$D$12*(1-COS(E181))</f>
        <v>0.0014639035980382091</v>
      </c>
      <c r="G181" s="26">
        <f>Val!$D$11*((1-COS(Calc!D181))+1/Val!$D$18*(1-(1-(Val!$D$18*SIN(Calc!D181))^2)^0.5))+Val!$D$12*((1-COS(Calc!E181))+1/Val!$D$19*(1-(1-(Val!$D$19*SIN(Calc!E181))^2)^0.5))</f>
        <v>0.001518741830347893</v>
      </c>
      <c r="H181" s="26">
        <f t="shared" si="50"/>
        <v>-5.483823230968384E-05</v>
      </c>
      <c r="I181" s="22">
        <f>Val!$D$11*(1-COS(D181))+Val!$D$14+Val!$D$13+Val!$D$12*((1-COS(Calc!E181)))+Val!$D$15</f>
        <v>0.002163903598038209</v>
      </c>
      <c r="J181" s="22">
        <f>Val!$D$11*((1-COS(Calc!$D181))+1/Val!$D$18*(1-(1-(Val!$D$18*SIN(Calc!$D181))^2)^0.5))+Val!$D$14+Val!$D$13+Val!$D$12*((1-COS(Calc!$E181))+1/Val!$D$19*(1-(1-(Val!$D$19*SIN(Calc!$E181))^2)^0.5))+Val!$D$15</f>
        <v>0.0022187418303478926</v>
      </c>
      <c r="K181" s="44">
        <f t="shared" si="51"/>
        <v>-5.483823230968384E-05</v>
      </c>
      <c r="L181" s="50">
        <f>Val!$D$42*Val!$D$22/Val!$D$37/(1-Val!$D$39*COS(D181-Val!$D$40))</f>
        <v>77190.26663469293</v>
      </c>
      <c r="M181" s="50">
        <f>Val!$D$42*Val!$D$22/(Val!$D$11*((1-COS(Calc!D181))+1/Val!$D$18*(1-(1-(Val!$D$18*SIN(Calc!D181))^2)^0.5))/Val!$D$25+Val!$D$14/Val!$D$25+Val!$D$13/Val!$D$27+Val!$D$12*((1-COS(Calc!E181))+1/Val!$D$19*(1-(1-(Val!$D$19*SIN(Calc!E181))^2)^0.5))/Val!$D$26+Val!$D$15/Val!$D$26)</f>
        <v>73785.43506685684</v>
      </c>
      <c r="N181" s="16">
        <f t="shared" si="44"/>
        <v>0.710810989133126</v>
      </c>
      <c r="O181" s="16">
        <f t="shared" si="45"/>
        <v>0.679752363188995</v>
      </c>
      <c r="P181" s="16">
        <f t="shared" si="46"/>
        <v>-9.242999796929942E-06</v>
      </c>
      <c r="Q181" s="16">
        <f t="shared" si="47"/>
        <v>-9.24578583552378E-06</v>
      </c>
      <c r="R181" s="13">
        <f t="shared" si="40"/>
        <v>0.879056269008341</v>
      </c>
      <c r="S181" s="13">
        <f t="shared" si="41"/>
        <v>0.9013335515716062</v>
      </c>
      <c r="T181" s="13">
        <f t="shared" si="42"/>
        <v>0.455452910659795</v>
      </c>
      <c r="U181" s="13">
        <f t="shared" si="43"/>
        <v>0.43536306623399107</v>
      </c>
      <c r="W181" s="387">
        <f>1*(M181-Val!$D$28)*PI()/4*Val!$D$2^2*(SIN(D181)+Val!$D$18/2*SIN(2*D181)/(1-Val!$D$18^2*SIN(D181)^2)^0.5)*Val!$D$4*(D181-D180)+1*(M181-Val!$D$28)*PI()/4*Val!$D$3^2*(SIN(E181)+Val!$D$19/2*SIN(2*E181)/(1-Val!$D$19^2*SIN(E181)^2)^0.5)*Val!$D$5*(E181-E180)</f>
        <v>-0.25636152198624956</v>
      </c>
    </row>
    <row r="182" spans="2:23" ht="13.5">
      <c r="B182" s="32">
        <v>177</v>
      </c>
      <c r="C182" s="32">
        <f>B182-Data!$D$10</f>
        <v>87</v>
      </c>
      <c r="D182" s="30">
        <f t="shared" si="48"/>
        <v>3.0892327760299634</v>
      </c>
      <c r="E182" s="30">
        <f t="shared" si="49"/>
        <v>1.5184364492350666</v>
      </c>
      <c r="F182" s="26">
        <f>Val!$D$11*(1-COS(D182))+Val!$D$12*(1-COS(E182))</f>
        <v>0.001473146597835139</v>
      </c>
      <c r="G182" s="26">
        <f>Val!$D$11*((1-COS(Calc!D182))+1/Val!$D$18*(1-(1-(Val!$D$18*SIN(Calc!D182))^2)^0.5))+Val!$D$12*((1-COS(Calc!E182))+1/Val!$D$19*(1-(1-(Val!$D$19*SIN(Calc!E182))^2)^0.5))</f>
        <v>0.0015279876161834168</v>
      </c>
      <c r="H182" s="26">
        <f t="shared" si="50"/>
        <v>-5.4841018348277676E-05</v>
      </c>
      <c r="I182" s="22">
        <f>Val!$D$11*(1-COS(D182))+Val!$D$14+Val!$D$13+Val!$D$12*((1-COS(Calc!E182)))+Val!$D$15</f>
        <v>0.0021731465978351385</v>
      </c>
      <c r="J182" s="22">
        <f>Val!$D$11*((1-COS(Calc!$D182))+1/Val!$D$18*(1-(1-(Val!$D$18*SIN(Calc!$D182))^2)^0.5))+Val!$D$14+Val!$D$13+Val!$D$12*((1-COS(Calc!$E182))+1/Val!$D$19*(1-(1-(Val!$D$19*SIN(Calc!$E182))^2)^0.5))+Val!$D$15</f>
        <v>0.002227987616183416</v>
      </c>
      <c r="K182" s="44">
        <f t="shared" si="51"/>
        <v>-5.4841018348277676E-05</v>
      </c>
      <c r="L182" s="50">
        <f>Val!$D$42*Val!$D$22/Val!$D$37/(1-Val!$D$39*COS(D182-Val!$D$40))</f>
        <v>76614.992426167</v>
      </c>
      <c r="M182" s="50">
        <f>Val!$D$42*Val!$D$22/(Val!$D$11*((1-COS(Calc!D182))+1/Val!$D$18*(1-(1-(Val!$D$18*SIN(Calc!D182))^2)^0.5))/Val!$D$25+Val!$D$14/Val!$D$25+Val!$D$13/Val!$D$27+Val!$D$12*((1-COS(Calc!E182))+1/Val!$D$19*(1-(1-(Val!$D$19*SIN(Calc!E182))^2)^0.5))/Val!$D$26+Val!$D$15/Val!$D$26)</f>
        <v>73255.03835126934</v>
      </c>
      <c r="N182" s="16">
        <f t="shared" si="44"/>
        <v>0.694544661060142</v>
      </c>
      <c r="O182" s="16">
        <f t="shared" si="45"/>
        <v>0.6643234750237519</v>
      </c>
      <c r="P182" s="16">
        <f t="shared" si="46"/>
        <v>-9.098874720174684E-06</v>
      </c>
      <c r="Q182" s="16">
        <f t="shared" si="47"/>
        <v>-9.100874505243777E-06</v>
      </c>
      <c r="R182" s="13">
        <f t="shared" si="40"/>
        <v>0.8828111113789994</v>
      </c>
      <c r="S182" s="13">
        <f t="shared" si="41"/>
        <v>0.9050895257323747</v>
      </c>
      <c r="T182" s="13">
        <f t="shared" si="42"/>
        <v>0.452058566733758</v>
      </c>
      <c r="U182" s="13">
        <f t="shared" si="43"/>
        <v>0.43223351715415737</v>
      </c>
      <c r="W182" s="387">
        <f>1*(M182-Val!$D$28)*PI()/4*Val!$D$2^2*(SIN(D182)+Val!$D$18/2*SIN(2*D182)/(1-Val!$D$18^2*SIN(D182)^2)^0.5)*Val!$D$4*(D182-D181)+1*(M182-Val!$D$28)*PI()/4*Val!$D$3^2*(SIN(E182)+Val!$D$19/2*SIN(2*E182)/(1-Val!$D$19^2*SIN(E182)^2)^0.5)*Val!$D$5*(E182-E181)</f>
        <v>-0.25727880571871214</v>
      </c>
    </row>
    <row r="183" spans="2:23" ht="13.5">
      <c r="B183" s="32">
        <v>178</v>
      </c>
      <c r="C183" s="32">
        <f>B183-Data!$D$10</f>
        <v>88</v>
      </c>
      <c r="D183" s="30">
        <f t="shared" si="48"/>
        <v>3.1066860685499065</v>
      </c>
      <c r="E183" s="30">
        <f t="shared" si="49"/>
        <v>1.53588974175501</v>
      </c>
      <c r="F183" s="26">
        <f>Val!$D$11*(1-COS(D183))+Val!$D$12*(1-COS(E183))</f>
        <v>0.0014822454725553138</v>
      </c>
      <c r="G183" s="26">
        <f>Val!$D$11*((1-COS(Calc!D183))+1/Val!$D$18*(1-(1-(Val!$D$18*SIN(Calc!D183))^2)^0.5))+Val!$D$12*((1-COS(Calc!E183))+1/Val!$D$19*(1-(1-(Val!$D$19*SIN(Calc!E183))^2)^0.5))</f>
        <v>0.0015370884906886605</v>
      </c>
      <c r="H183" s="26">
        <f t="shared" si="50"/>
        <v>-5.484301813334677E-05</v>
      </c>
      <c r="I183" s="22">
        <f>Val!$D$11*(1-COS(D183))+Val!$D$14+Val!$D$13+Val!$D$12*((1-COS(Calc!E183)))+Val!$D$15</f>
        <v>0.002182245472555313</v>
      </c>
      <c r="J183" s="22">
        <f>Val!$D$11*((1-COS(Calc!$D183))+1/Val!$D$18*(1-(1-(Val!$D$18*SIN(Calc!$D183))^2)^0.5))+Val!$D$14+Val!$D$13+Val!$D$12*((1-COS(Calc!$E183))+1/Val!$D$19*(1-(1-(Val!$D$19*SIN(Calc!$E183))^2)^0.5))+Val!$D$15</f>
        <v>0.00223708849068866</v>
      </c>
      <c r="K183" s="44">
        <f t="shared" si="51"/>
        <v>-5.4843018133346987E-05</v>
      </c>
      <c r="L183" s="50">
        <f>Val!$D$42*Val!$D$22/Val!$D$37/(1-Val!$D$39*COS(D183-Val!$D$40))</f>
        <v>76051.0640742368</v>
      </c>
      <c r="M183" s="50">
        <f>Val!$D$42*Val!$D$22/(Val!$D$11*((1-COS(Calc!D183))+1/Val!$D$18*(1-(1-(Val!$D$18*SIN(Calc!D183))^2)^0.5))/Val!$D$25+Val!$D$14/Val!$D$25+Val!$D$13/Val!$D$27+Val!$D$12*((1-COS(Calc!E183))+1/Val!$D$19*(1-(1-(Val!$D$19*SIN(Calc!E183))^2)^0.5))/Val!$D$26+Val!$D$15/Val!$D$26)</f>
        <v>72736.09132334896</v>
      </c>
      <c r="N183" s="16">
        <f t="shared" si="44"/>
        <v>0.67833346090056</v>
      </c>
      <c r="O183" s="16">
        <f t="shared" si="45"/>
        <v>0.6489468490240786</v>
      </c>
      <c r="P183" s="16">
        <f t="shared" si="46"/>
        <v>-8.95197803803629E-06</v>
      </c>
      <c r="Q183" s="16">
        <f t="shared" si="47"/>
        <v>-8.953181821630364E-06</v>
      </c>
      <c r="R183" s="13">
        <f t="shared" si="40"/>
        <v>0.8865074049065588</v>
      </c>
      <c r="S183" s="13">
        <f t="shared" si="41"/>
        <v>0.9087866316452933</v>
      </c>
      <c r="T183" s="13">
        <f t="shared" si="42"/>
        <v>0.4487311678208133</v>
      </c>
      <c r="U183" s="13">
        <f t="shared" si="43"/>
        <v>0.42917152573154504</v>
      </c>
      <c r="W183" s="387">
        <f>1*(M183-Val!$D$28)*PI()/4*Val!$D$2^2*(SIN(D183)+Val!$D$18/2*SIN(2*D183)/(1-Val!$D$18^2*SIN(D183)^2)^0.5)*Val!$D$4*(D183-D182)+1*(M183-Val!$D$28)*PI()/4*Val!$D$3^2*(SIN(E183)+Val!$D$19/2*SIN(2*E183)/(1-Val!$D$19^2*SIN(E183)^2)^0.5)*Val!$D$5*(E183-E182)</f>
        <v>-0.25786033422321397</v>
      </c>
    </row>
    <row r="184" spans="2:23" ht="13.5">
      <c r="B184" s="32">
        <v>179</v>
      </c>
      <c r="C184" s="32">
        <f>B184-Data!$D$10</f>
        <v>89</v>
      </c>
      <c r="D184" s="30">
        <f t="shared" si="48"/>
        <v>3.12413936106985</v>
      </c>
      <c r="E184" s="30">
        <f t="shared" si="49"/>
        <v>1.5533430342749532</v>
      </c>
      <c r="F184" s="26">
        <f>Val!$D$11*(1-COS(D184))+Val!$D$12*(1-COS(E184))</f>
        <v>0.00149119745059335</v>
      </c>
      <c r="G184" s="26">
        <f>Val!$D$11*((1-COS(Calc!D184))+1/Val!$D$18*(1-(1-(Val!$D$18*SIN(Calc!D184))^2)^0.5))+Val!$D$12*((1-COS(Calc!E184))+1/Val!$D$19*(1-(1-(Val!$D$19*SIN(Calc!E184))^2)^0.5))</f>
        <v>0.001546041672510291</v>
      </c>
      <c r="H184" s="26">
        <f t="shared" si="50"/>
        <v>-5.484422191694084E-05</v>
      </c>
      <c r="I184" s="22">
        <f>Val!$D$11*(1-COS(D184))+Val!$D$14+Val!$D$13+Val!$D$12*((1-COS(Calc!E184)))+Val!$D$15</f>
        <v>0.0021911974505933497</v>
      </c>
      <c r="J184" s="22">
        <f>Val!$D$11*((1-COS(Calc!$D184))+1/Val!$D$18*(1-(1-(Val!$D$18*SIN(Calc!$D184))^2)^0.5))+Val!$D$14+Val!$D$13+Val!$D$12*((1-COS(Calc!$E184))+1/Val!$D$19*(1-(1-(Val!$D$19*SIN(Calc!$E184))^2)^0.5))+Val!$D$15</f>
        <v>0.0022460416725102908</v>
      </c>
      <c r="K184" s="44">
        <f t="shared" si="51"/>
        <v>-5.484422191694106E-05</v>
      </c>
      <c r="L184" s="50">
        <f>Val!$D$42*Val!$D$22/Val!$D$37/(1-Val!$D$39*COS(D184-Val!$D$40))</f>
        <v>75498.33830775187</v>
      </c>
      <c r="M184" s="50">
        <f>Val!$D$42*Val!$D$22/(Val!$D$11*((1-COS(Calc!D184))+1/Val!$D$18*(1-(1-(Val!$D$18*SIN(Calc!D184))^2)^0.5))/Val!$D$25+Val!$D$14/Val!$D$25+Val!$D$13/Val!$D$27+Val!$D$12*((1-COS(Calc!E184))+1/Val!$D$19*(1-(1-(Val!$D$19*SIN(Calc!E184))^2)^0.5))/Val!$D$26+Val!$D$15/Val!$D$26)</f>
        <v>72228.42787277531</v>
      </c>
      <c r="N184" s="16">
        <f t="shared" si="44"/>
        <v>0.6621791717617698</v>
      </c>
      <c r="O184" s="16">
        <f t="shared" si="45"/>
        <v>0.6336237760682916</v>
      </c>
      <c r="P184" s="16">
        <f t="shared" si="46"/>
        <v>-8.80235449666816E-06</v>
      </c>
      <c r="Q184" s="16">
        <f t="shared" si="47"/>
        <v>-8.802756410915052E-06</v>
      </c>
      <c r="R184" s="13">
        <f t="shared" si="40"/>
        <v>0.8901440236642036</v>
      </c>
      <c r="S184" s="13">
        <f t="shared" si="41"/>
        <v>0.9124237394235747</v>
      </c>
      <c r="T184" s="13">
        <f t="shared" si="42"/>
        <v>0.44546986856486426</v>
      </c>
      <c r="U184" s="13">
        <f t="shared" si="43"/>
        <v>0.4261761118499788</v>
      </c>
      <c r="W184" s="387">
        <f>1*(M184-Val!$D$28)*PI()/4*Val!$D$2^2*(SIN(D184)+Val!$D$18/2*SIN(2*D184)/(1-Val!$D$18^2*SIN(D184)^2)^0.5)*Val!$D$4*(D184-D183)+1*(M184-Val!$D$28)*PI()/4*Val!$D$3^2*(SIN(E184)+Val!$D$19/2*SIN(2*E184)/(1-Val!$D$19^2*SIN(E184)^2)^0.5)*Val!$D$5*(E184-E183)</f>
        <v>-0.2581096412175021</v>
      </c>
    </row>
    <row r="185" spans="2:24" ht="13.5">
      <c r="B185" s="94">
        <v>180</v>
      </c>
      <c r="C185" s="94">
        <f>B185-Data!$D$10</f>
        <v>90</v>
      </c>
      <c r="D185" s="95">
        <f>PI()/180*B185</f>
        <v>3.141592653589793</v>
      </c>
      <c r="E185" s="95">
        <f>PI()/180*C185</f>
        <v>1.5707963267948966</v>
      </c>
      <c r="F185" s="96">
        <f>Val!$D$11*(1-COS(D185))+Val!$D$12*(1-COS(E185))</f>
        <v>0.0014999998050900182</v>
      </c>
      <c r="G185" s="96">
        <f>Val!$D$11*((1-COS(Calc!D185))+1/Val!$D$18*(1-(1-(Val!$D$18*SIN(Calc!D185))^2)^0.5))+Val!$D$12*((1-COS(Calc!E185))+1/Val!$D$19*(1-(1-(Val!$D$19*SIN(Calc!E185))^2)^0.5))</f>
        <v>0.001554844428921206</v>
      </c>
      <c r="H185" s="96">
        <f>F185-G185</f>
        <v>-5.4844623831187735E-05</v>
      </c>
      <c r="I185" s="96">
        <f>Val!$D$11*(1-COS(D185))+Val!$D$14+Val!$D$13+Val!$D$12*((1-COS(Calc!E185)))+Val!$D$15</f>
        <v>0.002199999805090018</v>
      </c>
      <c r="J185" s="96">
        <f>Val!$D$11*((1-COS(Calc!$D185))+1/Val!$D$18*(1-(1-(Val!$D$18*SIN(Calc!$D185))^2)^0.5))+Val!$D$14+Val!$D$13+Val!$D$12*((1-COS(Calc!$E185))+1/Val!$D$19*(1-(1-(Val!$D$19*SIN(Calc!$E185))^2)^0.5))+Val!$D$15</f>
        <v>0.0022548444289212056</v>
      </c>
      <c r="K185" s="97">
        <f>I185-J185</f>
        <v>-5.4844623831187735E-05</v>
      </c>
      <c r="L185" s="231">
        <f>Val!$D$42*Val!$D$22/Val!$D$37/(1-Val!$D$39*COS(D185-Val!$D$40))</f>
        <v>74956.67279465619</v>
      </c>
      <c r="M185" s="231">
        <f>Val!$D$42*Val!$D$22/(Val!$D$11*((1-COS(Calc!D185))+1/Val!$D$18*(1-(1-(Val!$D$18*SIN(Calc!D185))^2)^0.5))/Val!$D$25+Val!$D$14/Val!$D$25+Val!$D$13/Val!$D$27+Val!$D$12*((1-COS(Calc!E185))+1/Val!$D$19*(1-(1-(Val!$D$19*SIN(Calc!E185))^2)^0.5))/Val!$D$26+Val!$D$15/Val!$D$26)</f>
        <v>71731.88330490082</v>
      </c>
      <c r="N185" s="396">
        <f t="shared" si="44"/>
        <v>0.6460834511179961</v>
      </c>
      <c r="O185" s="396">
        <f t="shared" si="45"/>
        <v>0.6183554374846534</v>
      </c>
      <c r="P185" s="396">
        <f t="shared" si="46"/>
        <v>-8.650049672849838E-06</v>
      </c>
      <c r="Q185" s="396">
        <f t="shared" si="47"/>
        <v>-8.649647758602946E-06</v>
      </c>
      <c r="R185" s="95">
        <f t="shared" si="40"/>
        <v>0.8937198599026317</v>
      </c>
      <c r="S185" s="95">
        <f t="shared" si="41"/>
        <v>0.9159997389341737</v>
      </c>
      <c r="T185" s="95">
        <f t="shared" si="42"/>
        <v>0.44227382915084085</v>
      </c>
      <c r="U185" s="95">
        <f t="shared" si="43"/>
        <v>0.4232463037463091</v>
      </c>
      <c r="V185" s="408" t="s">
        <v>284</v>
      </c>
      <c r="W185" s="401">
        <f>1*(M185-Val!$D$28)*PI()/4*Val!$D$2^2*(SIN(D185)+Val!$D$18/2*SIN(2*D185)/(1-Val!$D$18^2*SIN(D185)^2)^0.5)*Val!$D$4*(D185-D184)+1*(M185-Val!$D$28)*PI()/4*Val!$D$3^2*(SIN(E185)+Val!$D$19/2*SIN(2*E185)/(1-Val!$D$19^2*SIN(E185)^2)^0.5)*Val!$D$5*(E185-E184)</f>
        <v>-0.2580304614432134</v>
      </c>
      <c r="X185" s="409"/>
    </row>
    <row r="186" spans="2:23" ht="13.5">
      <c r="B186" s="32">
        <v>181</v>
      </c>
      <c r="C186" s="32">
        <f>B186-Data!$D$10</f>
        <v>91</v>
      </c>
      <c r="D186" s="30">
        <f>PI()/180*B186</f>
        <v>3.1590459461097367</v>
      </c>
      <c r="E186" s="30">
        <f>PI()/180*C186</f>
        <v>1.5882496193148399</v>
      </c>
      <c r="F186" s="26">
        <f>Val!$D$11*(1-COS(D186))+Val!$D$12*(1-COS(E186))</f>
        <v>0.001508649854762868</v>
      </c>
      <c r="G186" s="26">
        <f>Val!$D$11*((1-COS(Calc!D186))+1/Val!$D$18*(1-(1-(Val!$D$18*SIN(Calc!D186))^2)^0.5))+Val!$D$12*((1-COS(Calc!E186))+1/Val!$D$19*(1-(1-(Val!$D$19*SIN(Calc!E186))^2)^0.5))</f>
        <v>0.001563494076679809</v>
      </c>
      <c r="H186" s="26">
        <f>F186-G186</f>
        <v>-5.484422191694084E-05</v>
      </c>
      <c r="I186" s="22">
        <f>Val!$D$11*(1-COS(D186))+Val!$D$14+Val!$D$13+Val!$D$12*((1-COS(Calc!E186)))+Val!$D$15</f>
        <v>0.0022086498547628677</v>
      </c>
      <c r="J186" s="22">
        <f>Val!$D$11*((1-COS(Calc!$D186))+1/Val!$D$18*(1-(1-(Val!$D$18*SIN(Calc!$D186))^2)^0.5))+Val!$D$14+Val!$D$13+Val!$D$12*((1-COS(Calc!$E186))+1/Val!$D$19*(1-(1-(Val!$D$19*SIN(Calc!$E186))^2)^0.5))+Val!$D$15</f>
        <v>0.0022634940766798083</v>
      </c>
      <c r="K186" s="44">
        <f>I186-J186</f>
        <v>-5.4844221916940626E-05</v>
      </c>
      <c r="L186" s="50">
        <f>Val!$D$42*Val!$D$22/Val!$D$37/(1-Val!$D$39*COS(D186-Val!$D$40))</f>
        <v>74425.92627778082</v>
      </c>
      <c r="M186" s="50">
        <f>Val!$D$42*Val!$D$22/(Val!$D$11*((1-COS(Calc!D186))+1/Val!$D$18*(1-(1-(Val!$D$18*SIN(Calc!D186))^2)^0.5))/Val!$D$25+Val!$D$14/Val!$D$25+Val!$D$13/Val!$D$27+Val!$D$12*((1-COS(Calc!E186))+1/Val!$D$19*(1-(1-(Val!$D$19*SIN(Calc!E186))^2)^0.5))/Val!$D$26+Val!$D$15/Val!$D$26)</f>
        <v>71246.29447572664</v>
      </c>
      <c r="N186" s="16">
        <f t="shared" si="44"/>
        <v>0.6300478367371201</v>
      </c>
      <c r="O186" s="16">
        <f t="shared" si="45"/>
        <v>0.6031429104745664</v>
      </c>
      <c r="P186" s="16">
        <f t="shared" si="46"/>
        <v>-8.495109960106415E-06</v>
      </c>
      <c r="Q186" s="16">
        <f t="shared" si="47"/>
        <v>-8.493906176512559E-06</v>
      </c>
      <c r="R186" s="13">
        <f t="shared" si="40"/>
        <v>0.8972338243874849</v>
      </c>
      <c r="S186" s="13">
        <f t="shared" si="41"/>
        <v>0.9195135401468557</v>
      </c>
      <c r="T186" s="13">
        <f t="shared" si="42"/>
        <v>0.4391422161059289</v>
      </c>
      <c r="U186" s="13">
        <f t="shared" si="43"/>
        <v>0.42038113880682354</v>
      </c>
      <c r="W186" s="387">
        <f>1*(M186-Val!$D$28)*PI()/4*Val!$D$2^2*(SIN(D186)+Val!$D$18/2*SIN(2*D186)/(1-Val!$D$18^2*SIN(D186)^2)^0.5)*Val!$D$4*(D186-D185)+1*(M186-Val!$D$28)*PI()/4*Val!$D$3^2*(SIN(E186)+Val!$D$19/2*SIN(2*E186)/(1-Val!$D$19^2*SIN(E186)^2)^0.5)*Val!$D$5*(E186-E185)</f>
        <v>-0.2576267218056292</v>
      </c>
    </row>
    <row r="187" spans="2:23" ht="13.5">
      <c r="B187" s="32">
        <v>182</v>
      </c>
      <c r="C187" s="32">
        <f>B187-Data!$D$10</f>
        <v>92</v>
      </c>
      <c r="D187" s="30">
        <f aca="true" t="shared" si="52" ref="D187:D222">PI()/180*B187</f>
        <v>3.1764992386296798</v>
      </c>
      <c r="E187" s="30">
        <f aca="true" t="shared" si="53" ref="E187:E222">PI()/180*C187</f>
        <v>1.6057029118347832</v>
      </c>
      <c r="F187" s="26">
        <f>Val!$D$11*(1-COS(D187))+Val!$D$12*(1-COS(E187))</f>
        <v>0.0015171449647229745</v>
      </c>
      <c r="G187" s="26">
        <f>Val!$D$11*((1-COS(Calc!D187))+1/Val!$D$18*(1-(1-(Val!$D$18*SIN(Calc!D187))^2)^0.5))+Val!$D$12*((1-COS(Calc!E187))+1/Val!$D$19*(1-(1-(Val!$D$19*SIN(Calc!E187))^2)^0.5))</f>
        <v>0.0015719879828563215</v>
      </c>
      <c r="H187" s="26">
        <f aca="true" t="shared" si="54" ref="H187:H222">F187-G187</f>
        <v>-5.4843018133346987E-05</v>
      </c>
      <c r="I187" s="22">
        <f>Val!$D$11*(1-COS(D187))+Val!$D$14+Val!$D$13+Val!$D$12*((1-COS(Calc!E187)))+Val!$D$15</f>
        <v>0.002217144964722974</v>
      </c>
      <c r="J187" s="22">
        <f>Val!$D$11*((1-COS(Calc!$D187))+1/Val!$D$18*(1-(1-(Val!$D$18*SIN(Calc!$D187))^2)^0.5))+Val!$D$14+Val!$D$13+Val!$D$12*((1-COS(Calc!$E187))+1/Val!$D$19*(1-(1-(Val!$D$19*SIN(Calc!$E187))^2)^0.5))+Val!$D$15</f>
        <v>0.002271987982856321</v>
      </c>
      <c r="K187" s="44">
        <f aca="true" t="shared" si="55" ref="K187:K222">I187-J187</f>
        <v>-5.4843018133346987E-05</v>
      </c>
      <c r="L187" s="50">
        <f>Val!$D$42*Val!$D$22/Val!$D$37/(1-Val!$D$39*COS(D187-Val!$D$40))</f>
        <v>73905.95869978049</v>
      </c>
      <c r="M187" s="50">
        <f>Val!$D$42*Val!$D$22/(Val!$D$11*((1-COS(Calc!D187))+1/Val!$D$18*(1-(1-(Val!$D$18*SIN(Calc!D187))^2)^0.5))/Val!$D$25+Val!$D$14/Val!$D$25+Val!$D$13/Val!$D$27+Val!$D$12*((1-COS(Calc!E187))+1/Val!$D$19*(1-(1-(Val!$D$19*SIN(Calc!E187))^2)^0.5))/Val!$D$26+Val!$D$15/Val!$D$26)</f>
        <v>70771.49991488444</v>
      </c>
      <c r="N187" s="16">
        <f t="shared" si="44"/>
        <v>0.6140737523873754</v>
      </c>
      <c r="O187" s="16">
        <f t="shared" si="45"/>
        <v>0.5879871733072142</v>
      </c>
      <c r="P187" s="16">
        <f t="shared" si="46"/>
        <v>-8.33758255457508E-06</v>
      </c>
      <c r="Q187" s="16">
        <f t="shared" si="47"/>
        <v>-8.33558276950577E-06</v>
      </c>
      <c r="R187" s="13">
        <f t="shared" si="40"/>
        <v>0.9006848467311405</v>
      </c>
      <c r="S187" s="13">
        <f t="shared" si="41"/>
        <v>0.9229640734698751</v>
      </c>
      <c r="T187" s="13">
        <f t="shared" si="42"/>
        <v>0.43607420303674566</v>
      </c>
      <c r="U187" s="13">
        <f t="shared" si="43"/>
        <v>0.4175796642928875</v>
      </c>
      <c r="W187" s="387">
        <f>1*(M187-Val!$D$28)*PI()/4*Val!$D$2^2*(SIN(D187)+Val!$D$18/2*SIN(2*D187)/(1-Val!$D$18^2*SIN(D187)^2)^0.5)*Val!$D$4*(D187-D186)+1*(M187-Val!$D$28)*PI()/4*Val!$D$3^2*(SIN(E187)+Val!$D$19/2*SIN(2*E187)/(1-Val!$D$19^2*SIN(E187)^2)^0.5)*Val!$D$5*(E187-E186)</f>
        <v>-0.25690253271141983</v>
      </c>
    </row>
    <row r="188" spans="2:23" ht="13.5">
      <c r="B188" s="32">
        <v>183</v>
      </c>
      <c r="C188" s="32">
        <f>B188-Data!$D$10</f>
        <v>93</v>
      </c>
      <c r="D188" s="30">
        <f t="shared" si="52"/>
        <v>3.193952531149623</v>
      </c>
      <c r="E188" s="30">
        <f t="shared" si="53"/>
        <v>1.6231562043547265</v>
      </c>
      <c r="F188" s="26">
        <f>Val!$D$11*(1-COS(D188))+Val!$D$12*(1-COS(E188))</f>
        <v>0.0015254825472775495</v>
      </c>
      <c r="G188" s="26">
        <f>Val!$D$11*((1-COS(Calc!D188))+1/Val!$D$18*(1-(1-(Val!$D$18*SIN(Calc!D188))^2)^0.5))+Val!$D$12*((1-COS(Calc!E188))+1/Val!$D$19*(1-(1-(Val!$D$19*SIN(Calc!E188))^2)^0.5))</f>
        <v>0.0015803235656258272</v>
      </c>
      <c r="H188" s="26">
        <f t="shared" si="54"/>
        <v>-5.4841018348277676E-05</v>
      </c>
      <c r="I188" s="22">
        <f>Val!$D$11*(1-COS(D188))+Val!$D$14+Val!$D$13+Val!$D$12*((1-COS(Calc!E188)))+Val!$D$15</f>
        <v>0.002225482547277549</v>
      </c>
      <c r="J188" s="22">
        <f>Val!$D$11*((1-COS(Calc!$D188))+1/Val!$D$18*(1-(1-(Val!$D$18*SIN(Calc!$D188))^2)^0.5))+Val!$D$14+Val!$D$13+Val!$D$12*((1-COS(Calc!$E188))+1/Val!$D$19*(1-(1-(Val!$D$19*SIN(Calc!$E188))^2)^0.5))+Val!$D$15</f>
        <v>0.002280323565625827</v>
      </c>
      <c r="K188" s="44">
        <f t="shared" si="55"/>
        <v>-5.4841018348277676E-05</v>
      </c>
      <c r="L188" s="50">
        <f>Val!$D$42*Val!$D$22/Val!$D$37/(1-Val!$D$39*COS(D188-Val!$D$40))</f>
        <v>73396.63131785353</v>
      </c>
      <c r="M188" s="50">
        <f>Val!$D$42*Val!$D$22/(Val!$D$11*((1-COS(Calc!D188))+1/Val!$D$18*(1-(1-(Val!$D$18*SIN(Calc!D188))^2)^0.5))/Val!$D$25+Val!$D$14/Val!$D$25+Val!$D$13/Val!$D$27+Val!$D$12*((1-COS(Calc!E188))+1/Val!$D$19*(1-(1-(Val!$D$19*SIN(Calc!E188))^2)^0.5))/Val!$D$26+Val!$D$15/Val!$D$26)</f>
        <v>70307.33993738348</v>
      </c>
      <c r="N188" s="16">
        <f t="shared" si="44"/>
        <v>0.5981625133297038</v>
      </c>
      <c r="O188" s="16">
        <f t="shared" si="45"/>
        <v>0.5728891102984188</v>
      </c>
      <c r="P188" s="16">
        <f t="shared" si="46"/>
        <v>-8.177515440629685E-06</v>
      </c>
      <c r="Q188" s="16">
        <f t="shared" si="47"/>
        <v>-8.174729402035848E-06</v>
      </c>
      <c r="R188" s="13">
        <f t="shared" si="40"/>
        <v>0.904071875718762</v>
      </c>
      <c r="S188" s="13">
        <f t="shared" si="41"/>
        <v>0.9263502900721373</v>
      </c>
      <c r="T188" s="13">
        <f t="shared" si="42"/>
        <v>0.43306897130623234</v>
      </c>
      <c r="U188" s="13">
        <f t="shared" si="43"/>
        <v>0.41484093800029587</v>
      </c>
      <c r="W188" s="387">
        <f>1*(M188-Val!$D$28)*PI()/4*Val!$D$2^2*(SIN(D188)+Val!$D$18/2*SIN(2*D188)/(1-Val!$D$18^2*SIN(D188)^2)^0.5)*Val!$D$4*(D188-D187)+1*(M188-Val!$D$28)*PI()/4*Val!$D$3^2*(SIN(E188)+Val!$D$19/2*SIN(2*E188)/(1-Val!$D$19^2*SIN(E188)^2)^0.5)*Val!$D$5*(E188-E187)</f>
        <v>-0.25586217960371394</v>
      </c>
    </row>
    <row r="189" spans="2:23" ht="13.5">
      <c r="B189" s="32">
        <v>184</v>
      </c>
      <c r="C189" s="32">
        <f>B189-Data!$D$10</f>
        <v>94</v>
      </c>
      <c r="D189" s="30">
        <f t="shared" si="52"/>
        <v>3.2114058236695664</v>
      </c>
      <c r="E189" s="30">
        <f t="shared" si="53"/>
        <v>1.6406094968746698</v>
      </c>
      <c r="F189" s="26">
        <f>Val!$D$11*(1-COS(D189))+Val!$D$12*(1-COS(E189))</f>
        <v>0.0015336600627181792</v>
      </c>
      <c r="G189" s="26">
        <f>Val!$D$11*((1-COS(Calc!D189))+1/Val!$D$18*(1-(1-(Val!$D$18*SIN(Calc!D189))^2)^0.5))+Val!$D$12*((1-COS(Calc!E189))+1/Val!$D$19*(1-(1-(Val!$D$19*SIN(Calc!E189))^2)^0.5))</f>
        <v>0.001588498295027863</v>
      </c>
      <c r="H189" s="26">
        <f t="shared" si="54"/>
        <v>-5.483823230968384E-05</v>
      </c>
      <c r="I189" s="22">
        <f>Val!$D$11*(1-COS(D189))+Val!$D$14+Val!$D$13+Val!$D$12*((1-COS(Calc!E189)))+Val!$D$15</f>
        <v>0.002233660062718179</v>
      </c>
      <c r="J189" s="22">
        <f>Val!$D$11*((1-COS(Calc!$D189))+1/Val!$D$18*(1-(1-(Val!$D$18*SIN(Calc!$D189))^2)^0.5))+Val!$D$14+Val!$D$13+Val!$D$12*((1-COS(Calc!$E189))+1/Val!$D$19*(1-(1-(Val!$D$19*SIN(Calc!$E189))^2)^0.5))+Val!$D$15</f>
        <v>0.0022884982950278627</v>
      </c>
      <c r="K189" s="44">
        <f t="shared" si="55"/>
        <v>-5.483823230968384E-05</v>
      </c>
      <c r="L189" s="50">
        <f>Val!$D$42*Val!$D$22/Val!$D$37/(1-Val!$D$39*COS(D189-Val!$D$40))</f>
        <v>72897.80680885556</v>
      </c>
      <c r="M189" s="50">
        <f>Val!$D$42*Val!$D$22/(Val!$D$11*((1-COS(Calc!D189))+1/Val!$D$18*(1-(1-(Val!$D$18*SIN(Calc!D189))^2)^0.5))/Val!$D$25+Val!$D$14/Val!$D$25+Val!$D$13/Val!$D$27+Val!$D$12*((1-COS(Calc!E189))+1/Val!$D$19*(1-(1-(Val!$D$19*SIN(Calc!E189))^2)^0.5))/Val!$D$26+Val!$D$15/Val!$D$26)</f>
        <v>69853.65674484202</v>
      </c>
      <c r="N189" s="16">
        <f t="shared" si="44"/>
        <v>0.5823153316013185</v>
      </c>
      <c r="O189" s="16">
        <f t="shared" si="45"/>
        <v>0.5578495165812133</v>
      </c>
      <c r="P189" s="16">
        <f t="shared" si="46"/>
        <v>-8.014957376263317E-06</v>
      </c>
      <c r="Q189" s="16">
        <f t="shared" si="47"/>
        <v>-8.011398664580557E-06</v>
      </c>
      <c r="R189" s="13">
        <f t="shared" si="40"/>
        <v>0.9073938796285087</v>
      </c>
      <c r="S189" s="13">
        <f t="shared" si="41"/>
        <v>0.9296711621917739</v>
      </c>
      <c r="T189" s="13">
        <f t="shared" si="42"/>
        <v>0.43012571065386584</v>
      </c>
      <c r="U189" s="13">
        <f t="shared" si="43"/>
        <v>0.41216402885657794</v>
      </c>
      <c r="W189" s="387">
        <f>1*(M189-Val!$D$28)*PI()/4*Val!$D$2^2*(SIN(D189)+Val!$D$18/2*SIN(2*D189)/(1-Val!$D$18^2*SIN(D189)^2)^0.5)*Val!$D$4*(D189-D188)+1*(M189-Val!$D$28)*PI()/4*Val!$D$3^2*(SIN(E189)+Val!$D$19/2*SIN(2*E189)/(1-Val!$D$19^2*SIN(E189)^2)^0.5)*Val!$D$5*(E189-E188)</f>
        <v>-0.2545101146940016</v>
      </c>
    </row>
    <row r="190" spans="2:23" ht="13.5">
      <c r="B190" s="32">
        <v>185</v>
      </c>
      <c r="C190" s="32">
        <f>B190-Data!$D$10</f>
        <v>95</v>
      </c>
      <c r="D190" s="30">
        <f t="shared" si="52"/>
        <v>3.2288591161895095</v>
      </c>
      <c r="E190" s="30">
        <f t="shared" si="53"/>
        <v>1.6580627893946132</v>
      </c>
      <c r="F190" s="26">
        <f>Val!$D$11*(1-COS(D190))+Val!$D$12*(1-COS(E190))</f>
        <v>0.0015416750200944425</v>
      </c>
      <c r="G190" s="26">
        <f>Val!$D$11*((1-COS(Calc!D190))+1/Val!$D$18*(1-(1-(Val!$D$18*SIN(Calc!D190))^2)^0.5))+Val!$D$12*((1-COS(Calc!E190))+1/Val!$D$19*(1-(1-(Val!$D$19*SIN(Calc!E190))^2)^0.5))</f>
        <v>0.0015965096936924436</v>
      </c>
      <c r="H190" s="26">
        <f t="shared" si="54"/>
        <v>-5.483467359800108E-05</v>
      </c>
      <c r="I190" s="22">
        <f>Val!$D$11*(1-COS(D190))+Val!$D$14+Val!$D$13+Val!$D$12*((1-COS(Calc!E190)))+Val!$D$15</f>
        <v>0.0022416750200944424</v>
      </c>
      <c r="J190" s="22">
        <f>Val!$D$11*((1-COS(Calc!$D190))+1/Val!$D$18*(1-(1-(Val!$D$18*SIN(Calc!$D190))^2)^0.5))+Val!$D$14+Val!$D$13+Val!$D$12*((1-COS(Calc!$E190))+1/Val!$D$19*(1-(1-(Val!$D$19*SIN(Calc!$E190))^2)^0.5))+Val!$D$15</f>
        <v>0.0022965096936924433</v>
      </c>
      <c r="K190" s="44">
        <f t="shared" si="55"/>
        <v>-5.483467359800086E-05</v>
      </c>
      <c r="L190" s="50">
        <f>Val!$D$42*Val!$D$22/Val!$D$37/(1-Val!$D$39*COS(D190-Val!$D$40))</f>
        <v>72409.3493653888</v>
      </c>
      <c r="M190" s="50">
        <f>Val!$D$42*Val!$D$22/(Val!$D$11*((1-COS(Calc!D190))+1/Val!$D$18*(1-(1-(Val!$D$18*SIN(Calc!D190))^2)^0.5))/Val!$D$25+Val!$D$14/Val!$D$25+Val!$D$13/Val!$D$27+Val!$D$12*((1-COS(Calc!E190))+1/Val!$D$19*(1-(1-(Val!$D$19*SIN(Calc!E190))^2)^0.5))/Val!$D$26+Val!$D$15/Val!$D$26)</f>
        <v>69410.29451688685</v>
      </c>
      <c r="N190" s="16">
        <f t="shared" si="44"/>
        <v>0.5665333210964966</v>
      </c>
      <c r="O190" s="16">
        <f t="shared" si="45"/>
        <v>0.5428691026809385</v>
      </c>
      <c r="P190" s="16">
        <f t="shared" si="46"/>
        <v>-7.849957878237977E-06</v>
      </c>
      <c r="Q190" s="16">
        <f t="shared" si="47"/>
        <v>-7.845643840084576E-06</v>
      </c>
      <c r="R190" s="13">
        <f t="shared" si="40"/>
        <v>0.9106498465458088</v>
      </c>
      <c r="S190" s="13">
        <f t="shared" si="41"/>
        <v>0.9329256834310793</v>
      </c>
      <c r="T190" s="13">
        <f t="shared" si="42"/>
        <v>0.427243619762624</v>
      </c>
      <c r="U190" s="13">
        <f t="shared" si="43"/>
        <v>0.4095480174602908</v>
      </c>
      <c r="W190" s="387">
        <f>1*(M190-Val!$D$28)*PI()/4*Val!$D$2^2*(SIN(D190)+Val!$D$18/2*SIN(2*D190)/(1-Val!$D$18^2*SIN(D190)^2)^0.5)*Val!$D$4*(D190-D189)+1*(M190-Val!$D$28)*PI()/4*Val!$D$3^2*(SIN(E190)+Val!$D$19/2*SIN(2*E190)/(1-Val!$D$19^2*SIN(E190)^2)^0.5)*Val!$D$5*(E190-E189)</f>
        <v>-0.2528509488904951</v>
      </c>
    </row>
    <row r="191" spans="2:23" ht="13.5">
      <c r="B191" s="32">
        <v>186</v>
      </c>
      <c r="C191" s="32">
        <f>B191-Data!$D$10</f>
        <v>96</v>
      </c>
      <c r="D191" s="30">
        <f t="shared" si="52"/>
        <v>3.246312408709453</v>
      </c>
      <c r="E191" s="30">
        <f t="shared" si="53"/>
        <v>1.6755160819145565</v>
      </c>
      <c r="F191" s="26">
        <f>Val!$D$11*(1-COS(D191))+Val!$D$12*(1-COS(E191))</f>
        <v>0.0015495249779726805</v>
      </c>
      <c r="G191" s="26">
        <f>Val!$D$11*((1-COS(Calc!D191))+1/Val!$D$18*(1-(1-(Val!$D$18*SIN(Calc!D191))^2)^0.5))+Val!$D$12*((1-COS(Calc!E191))+1/Val!$D$19*(1-(1-(Val!$D$19*SIN(Calc!E191))^2)^0.5))</f>
        <v>0.0016043553375325282</v>
      </c>
      <c r="H191" s="26">
        <f t="shared" si="54"/>
        <v>-5.483035955984768E-05</v>
      </c>
      <c r="I191" s="22">
        <f>Val!$D$11*(1-COS(D191))+Val!$D$14+Val!$D$13+Val!$D$12*((1-COS(Calc!E191)))+Val!$D$15</f>
        <v>0.00224952497797268</v>
      </c>
      <c r="J191" s="22">
        <f>Val!$D$11*((1-COS(Calc!$D191))+1/Val!$D$18*(1-(1-(Val!$D$18*SIN(Calc!$D191))^2)^0.5))+Val!$D$14+Val!$D$13+Val!$D$12*((1-COS(Calc!$E191))+1/Val!$D$19*(1-(1-(Val!$D$19*SIN(Calc!$E191))^2)^0.5))+Val!$D$15</f>
        <v>0.0023043553375325277</v>
      </c>
      <c r="K191" s="44">
        <f t="shared" si="55"/>
        <v>-5.483035955984768E-05</v>
      </c>
      <c r="L191" s="50">
        <f>Val!$D$42*Val!$D$22/Val!$D$37/(1-Val!$D$39*COS(D191-Val!$D$40))</f>
        <v>71931.12478342118</v>
      </c>
      <c r="M191" s="50">
        <f>Val!$D$42*Val!$D$22/(Val!$D$11*((1-COS(Calc!D191))+1/Val!$D$18*(1-(1-(Val!$D$18*SIN(Calc!D191))^2)^0.5))/Val!$D$25+Val!$D$14/Val!$D$25+Val!$D$13/Val!$D$27+Val!$D$12*((1-COS(Calc!E191))+1/Val!$D$19*(1-(1-(Val!$D$19*SIN(Calc!E191))^2)^0.5))/Val!$D$26+Val!$D$15/Val!$D$26)</f>
        <v>68977.09949336723</v>
      </c>
      <c r="N191" s="16">
        <f t="shared" si="44"/>
        <v>0.5508175024505506</v>
      </c>
      <c r="O191" s="16">
        <f t="shared" si="45"/>
        <v>0.5279484989034646</v>
      </c>
      <c r="P191" s="16">
        <f t="shared" si="46"/>
        <v>-7.682567206998775E-06</v>
      </c>
      <c r="Q191" s="16">
        <f t="shared" si="47"/>
        <v>-7.67751887049235E-06</v>
      </c>
      <c r="R191" s="13">
        <f t="shared" si="40"/>
        <v>0.9138387846715978</v>
      </c>
      <c r="S191" s="13">
        <f t="shared" si="41"/>
        <v>0.9361128690378158</v>
      </c>
      <c r="T191" s="13">
        <f t="shared" si="42"/>
        <v>0.42442190677597236</v>
      </c>
      <c r="U191" s="13">
        <f t="shared" si="43"/>
        <v>0.4069919965661141</v>
      </c>
      <c r="W191" s="387">
        <f>1*(M191-Val!$D$28)*PI()/4*Val!$D$2^2*(SIN(D191)+Val!$D$18/2*SIN(2*D191)/(1-Val!$D$18^2*SIN(D191)^2)^0.5)*Val!$D$4*(D191-D190)+1*(M191-Val!$D$28)*PI()/4*Val!$D$3^2*(SIN(E191)+Val!$D$19/2*SIN(2*E191)/(1-Val!$D$19^2*SIN(E191)^2)^0.5)*Val!$D$5*(E191-E190)</f>
        <v>-0.25088944392269696</v>
      </c>
    </row>
    <row r="192" spans="2:23" ht="13.5">
      <c r="B192" s="32">
        <v>187</v>
      </c>
      <c r="C192" s="32">
        <f>B192-Data!$D$10</f>
        <v>97</v>
      </c>
      <c r="D192" s="30">
        <f t="shared" si="52"/>
        <v>3.263765701229396</v>
      </c>
      <c r="E192" s="30">
        <f t="shared" si="53"/>
        <v>1.6929693744344996</v>
      </c>
      <c r="F192" s="26">
        <f>Val!$D$11*(1-COS(D192))+Val!$D$12*(1-COS(E192))</f>
        <v>0.0015572075451796793</v>
      </c>
      <c r="G192" s="26">
        <f>Val!$D$11*((1-COS(Calc!D192))+1/Val!$D$18*(1-(1-(Val!$D$18*SIN(Calc!D192))^2)^0.5))+Val!$D$12*((1-COS(Calc!E192))+1/Val!$D$19*(1-(1-(Val!$D$19*SIN(Calc!E192))^2)^0.5))</f>
        <v>0.0016120328564030206</v>
      </c>
      <c r="H192" s="26">
        <f t="shared" si="54"/>
        <v>-5.482531122334125E-05</v>
      </c>
      <c r="I192" s="22">
        <f>Val!$D$11*(1-COS(D192))+Val!$D$14+Val!$D$13+Val!$D$12*((1-COS(Calc!E192)))+Val!$D$15</f>
        <v>0.002257207545179679</v>
      </c>
      <c r="J192" s="22">
        <f>Val!$D$11*((1-COS(Calc!$D192))+1/Val!$D$18*(1-(1-(Val!$D$18*SIN(Calc!$D192))^2)^0.5))+Val!$D$14+Val!$D$13+Val!$D$12*((1-COS(Calc!$E192))+1/Val!$D$19*(1-(1-(Val!$D$19*SIN(Calc!$E192))^2)^0.5))+Val!$D$15</f>
        <v>0.0023120328564030204</v>
      </c>
      <c r="K192" s="44">
        <f t="shared" si="55"/>
        <v>-5.482531122334147E-05</v>
      </c>
      <c r="L192" s="50">
        <f>Val!$D$42*Val!$D$22/Val!$D$37/(1-Val!$D$39*COS(D192-Val!$D$40))</f>
        <v>71463.00054196312</v>
      </c>
      <c r="M192" s="50">
        <f>Val!$D$42*Val!$D$22/(Val!$D$11*((1-COS(Calc!D192))+1/Val!$D$18*(1-(1-(Val!$D$18*SIN(Calc!D192))^2)^0.5))/Val!$D$25+Val!$D$14/Val!$D$25+Val!$D$13/Val!$D$27+Val!$D$12*((1-COS(Calc!E192))+1/Val!$D$19*(1-(1-(Val!$D$19*SIN(Calc!E192))^2)^0.5))/Val!$D$26+Val!$D$15/Val!$D$26)</f>
        <v>68553.92004799619</v>
      </c>
      <c r="N192" s="16">
        <f t="shared" si="44"/>
        <v>0.5351688077321467</v>
      </c>
      <c r="O192" s="16">
        <f t="shared" si="45"/>
        <v>0.5130882595461196</v>
      </c>
      <c r="P192" s="16">
        <f t="shared" si="46"/>
        <v>-7.512836351364783E-06</v>
      </c>
      <c r="Q192" s="16">
        <f t="shared" si="47"/>
        <v>-7.507078323470235E-06</v>
      </c>
      <c r="R192" s="13">
        <f t="shared" si="40"/>
        <v>0.9169597226244314</v>
      </c>
      <c r="S192" s="13">
        <f t="shared" si="41"/>
        <v>0.9392317561729243</v>
      </c>
      <c r="T192" s="13">
        <f t="shared" si="42"/>
        <v>0.4216597897679886</v>
      </c>
      <c r="U192" s="13">
        <f t="shared" si="43"/>
        <v>0.404495071519362</v>
      </c>
      <c r="W192" s="387">
        <f>1*(M192-Val!$D$28)*PI()/4*Val!$D$2^2*(SIN(D192)+Val!$D$18/2*SIN(2*D192)/(1-Val!$D$18^2*SIN(D192)^2)^0.5)*Val!$D$4*(D192-D191)+1*(M192-Val!$D$28)*PI()/4*Val!$D$3^2*(SIN(E192)+Val!$D$19/2*SIN(2*E192)/(1-Val!$D$19^2*SIN(E192)^2)^0.5)*Val!$D$5*(E192-E191)</f>
        <v>-0.24863050466203562</v>
      </c>
    </row>
    <row r="193" spans="2:23" ht="13.5">
      <c r="B193" s="32">
        <v>188</v>
      </c>
      <c r="C193" s="32">
        <f>B193-Data!$D$10</f>
        <v>98</v>
      </c>
      <c r="D193" s="30">
        <f t="shared" si="52"/>
        <v>3.2812189937493397</v>
      </c>
      <c r="E193" s="30">
        <f t="shared" si="53"/>
        <v>1.710422666954443</v>
      </c>
      <c r="F193" s="26">
        <f>Val!$D$11*(1-COS(D193))+Val!$D$12*(1-COS(E193))</f>
        <v>0.001564720381531044</v>
      </c>
      <c r="G193" s="26">
        <f>Val!$D$11*((1-COS(Calc!D193))+1/Val!$D$18*(1-(1-(Val!$D$18*SIN(Calc!D193))^2)^0.5))+Val!$D$12*((1-COS(Calc!E193))+1/Val!$D$19*(1-(1-(Val!$D$19*SIN(Calc!E193))^2)^0.5))</f>
        <v>0.0016195399347264908</v>
      </c>
      <c r="H193" s="26">
        <f t="shared" si="54"/>
        <v>-5.4819553195446704E-05</v>
      </c>
      <c r="I193" s="22">
        <f>Val!$D$11*(1-COS(D193))+Val!$D$14+Val!$D$13+Val!$D$12*((1-COS(Calc!E193)))+Val!$D$15</f>
        <v>0.0022647203815310438</v>
      </c>
      <c r="J193" s="22">
        <f>Val!$D$11*((1-COS(Calc!$D193))+1/Val!$D$18*(1-(1-(Val!$D$18*SIN(Calc!$D193))^2)^0.5))+Val!$D$14+Val!$D$13+Val!$D$12*((1-COS(Calc!$E193))+1/Val!$D$19*(1-(1-(Val!$D$19*SIN(Calc!$E193))^2)^0.5))+Val!$D$15</f>
        <v>0.0023195399347264905</v>
      </c>
      <c r="K193" s="44">
        <f t="shared" si="55"/>
        <v>-5.4819553195446704E-05</v>
      </c>
      <c r="L193" s="50">
        <f>Val!$D$42*Val!$D$22/Val!$D$37/(1-Val!$D$39*COS(D193-Val!$D$40))</f>
        <v>71004.8458753032</v>
      </c>
      <c r="M193" s="50">
        <f>Val!$D$42*Val!$D$22/(Val!$D$11*((1-COS(Calc!D193))+1/Val!$D$18*(1-(1-(Val!$D$18*SIN(Calc!D193))^2)^0.5))/Val!$D$25+Val!$D$14/Val!$D$25+Val!$D$13/Val!$D$27+Val!$D$12*((1-COS(Calc!E193))+1/Val!$D$19*(1-(1-(Val!$D$19*SIN(Calc!E193))^2)^0.5))/Val!$D$26+Val!$D$15/Val!$D$26)</f>
        <v>68140.60675399762</v>
      </c>
      <c r="N193" s="16">
        <f t="shared" si="44"/>
        <v>0.5195880849518558</v>
      </c>
      <c r="O193" s="16">
        <f t="shared" si="45"/>
        <v>0.4982888669420226</v>
      </c>
      <c r="P193" s="16">
        <f t="shared" si="46"/>
        <v>-7.340817013000867E-06</v>
      </c>
      <c r="Q193" s="16">
        <f t="shared" si="47"/>
        <v>-7.3343773594111965E-06</v>
      </c>
      <c r="R193" s="13">
        <f t="shared" si="40"/>
        <v>0.9200117097363749</v>
      </c>
      <c r="S193" s="13">
        <f t="shared" si="41"/>
        <v>0.9422814041647137</v>
      </c>
      <c r="T193" s="13">
        <f t="shared" si="42"/>
        <v>0.41895649716958167</v>
      </c>
      <c r="U193" s="13">
        <f t="shared" si="43"/>
        <v>0.4020563606433274</v>
      </c>
      <c r="W193" s="387">
        <f>1*(M193-Val!$D$28)*PI()/4*Val!$D$2^2*(SIN(D193)+Val!$D$18/2*SIN(2*D193)/(1-Val!$D$18^2*SIN(D193)^2)^0.5)*Val!$D$4*(D193-D192)+1*(M193-Val!$D$28)*PI()/4*Val!$D$3^2*(SIN(E193)+Val!$D$19/2*SIN(2*E193)/(1-Val!$D$19^2*SIN(E193)^2)^0.5)*Val!$D$5*(E193-E192)</f>
        <v>-0.24607917163850085</v>
      </c>
    </row>
    <row r="194" spans="2:23" ht="13.5">
      <c r="B194" s="32">
        <v>189</v>
      </c>
      <c r="C194" s="32">
        <f>B194-Data!$D$10</f>
        <v>99</v>
      </c>
      <c r="D194" s="30">
        <f t="shared" si="52"/>
        <v>3.2986722862692828</v>
      </c>
      <c r="E194" s="30">
        <f t="shared" si="53"/>
        <v>1.7278759594743862</v>
      </c>
      <c r="F194" s="26">
        <f>Val!$D$11*(1-COS(D194))+Val!$D$12*(1-COS(E194))</f>
        <v>0.001572061198544045</v>
      </c>
      <c r="G194" s="26">
        <f>Val!$D$11*((1-COS(Calc!D194))+1/Val!$D$18*(1-(1-(Val!$D$18*SIN(Calc!D194))^2)^0.5))+Val!$D$12*((1-COS(Calc!E194))+1/Val!$D$19*(1-(1-(Val!$D$19*SIN(Calc!E194))^2)^0.5))</f>
        <v>0.001626874312085902</v>
      </c>
      <c r="H194" s="26">
        <f t="shared" si="54"/>
        <v>-5.481311354185703E-05</v>
      </c>
      <c r="I194" s="22">
        <f>Val!$D$11*(1-COS(D194))+Val!$D$14+Val!$D$13+Val!$D$12*((1-COS(Calc!E194)))+Val!$D$15</f>
        <v>0.0022720611985440446</v>
      </c>
      <c r="J194" s="22">
        <f>Val!$D$11*((1-COS(Calc!$D194))+1/Val!$D$18*(1-(1-(Val!$D$18*SIN(Calc!$D194))^2)^0.5))+Val!$D$14+Val!$D$13+Val!$D$12*((1-COS(Calc!$E194))+1/Val!$D$19*(1-(1-(Val!$D$19*SIN(Calc!$E194))^2)^0.5))+Val!$D$15</f>
        <v>0.0023268743120859014</v>
      </c>
      <c r="K194" s="44">
        <f t="shared" si="55"/>
        <v>-5.4813113541856816E-05</v>
      </c>
      <c r="L194" s="50">
        <f>Val!$D$42*Val!$D$22/Val!$D$37/(1-Val!$D$39*COS(D194-Val!$D$40))</f>
        <v>70556.53183827977</v>
      </c>
      <c r="M194" s="50">
        <f>Val!$D$42*Val!$D$22/(Val!$D$11*((1-COS(Calc!D194))+1/Val!$D$18*(1-(1-(Val!$D$18*SIN(Calc!D194))^2)^0.5))/Val!$D$25+Val!$D$14/Val!$D$25+Val!$D$13/Val!$D$27+Val!$D$12*((1-COS(Calc!E194))+1/Val!$D$19*(1-(1-(Val!$D$19*SIN(Calc!E194))^2)^0.5))/Val!$D$26+Val!$D$15/Val!$D$26)</f>
        <v>67737.01244230727</v>
      </c>
      <c r="N194" s="16">
        <f t="shared" si="44"/>
        <v>0.5040761023899447</v>
      </c>
      <c r="O194" s="16">
        <f t="shared" si="45"/>
        <v>0.48355073534528</v>
      </c>
      <c r="P194" s="16">
        <f t="shared" si="46"/>
        <v>-7.166561590661851E-06</v>
      </c>
      <c r="Q194" s="16">
        <f t="shared" si="47"/>
        <v>-7.159471698813544E-06</v>
      </c>
      <c r="R194" s="13">
        <f t="shared" si="40"/>
        <v>0.9229938163425897</v>
      </c>
      <c r="S194" s="13">
        <f t="shared" si="41"/>
        <v>0.9452608947496492</v>
      </c>
      <c r="T194" s="13">
        <f t="shared" si="42"/>
        <v>0.41631126815361924</v>
      </c>
      <c r="U194" s="13">
        <f t="shared" si="43"/>
        <v>0.39967499558269043</v>
      </c>
      <c r="W194" s="387">
        <f>1*(M194-Val!$D$28)*PI()/4*Val!$D$2^2*(SIN(D194)+Val!$D$18/2*SIN(2*D194)/(1-Val!$D$18^2*SIN(D194)^2)^0.5)*Val!$D$4*(D194-D193)+1*(M194-Val!$D$28)*PI()/4*Val!$D$3^2*(SIN(E194)+Val!$D$19/2*SIN(2*E194)/(1-Val!$D$19^2*SIN(E194)^2)^0.5)*Val!$D$5*(E194-E193)</f>
        <v>-0.24324061375323075</v>
      </c>
    </row>
    <row r="195" spans="2:23" ht="13.5">
      <c r="B195" s="32">
        <v>190</v>
      </c>
      <c r="C195" s="32">
        <f>B195-Data!$D$10</f>
        <v>100</v>
      </c>
      <c r="D195" s="30">
        <f t="shared" si="52"/>
        <v>3.3161255787892263</v>
      </c>
      <c r="E195" s="30">
        <f t="shared" si="53"/>
        <v>1.7453292519943295</v>
      </c>
      <c r="F195" s="26">
        <f>Val!$D$11*(1-COS(D195))+Val!$D$12*(1-COS(E195))</f>
        <v>0.0015792277601347068</v>
      </c>
      <c r="G195" s="26">
        <f>Val!$D$11*((1-COS(Calc!D195))+1/Val!$D$18*(1-(1-(Val!$D$18*SIN(Calc!D195))^2)^0.5))+Val!$D$12*((1-COS(Calc!E195))+1/Val!$D$19*(1-(1-(Val!$D$19*SIN(Calc!E195))^2)^0.5))</f>
        <v>0.0016340337837847155</v>
      </c>
      <c r="H195" s="26">
        <f t="shared" si="54"/>
        <v>-5.4806023650008726E-05</v>
      </c>
      <c r="I195" s="22">
        <f>Val!$D$11*(1-COS(D195))+Val!$D$14+Val!$D$13+Val!$D$12*((1-COS(Calc!E195)))+Val!$D$15</f>
        <v>0.0022792277601347065</v>
      </c>
      <c r="J195" s="22">
        <f>Val!$D$11*((1-COS(Calc!$D195))+1/Val!$D$18*(1-(1-(Val!$D$18*SIN(Calc!$D195))^2)^0.5))+Val!$D$14+Val!$D$13+Val!$D$12*((1-COS(Calc!$E195))+1/Val!$D$19*(1-(1-(Val!$D$19*SIN(Calc!$E195))^2)^0.5))+Val!$D$15</f>
        <v>0.002334033783784715</v>
      </c>
      <c r="K195" s="44">
        <f t="shared" si="55"/>
        <v>-5.4806023650008726E-05</v>
      </c>
      <c r="L195" s="50">
        <f>Val!$D$42*Val!$D$22/Val!$D$37/(1-Val!$D$39*COS(D195-Val!$D$40))</f>
        <v>70117.93136504055</v>
      </c>
      <c r="M195" s="50">
        <f>Val!$D$42*Val!$D$22/(Val!$D$11*((1-COS(Calc!D195))+1/Val!$D$18*(1-(1-(Val!$D$18*SIN(Calc!D195))^2)^0.5))/Val!$D$25+Val!$D$14/Val!$D$25+Val!$D$13/Val!$D$27+Val!$D$12*((1-COS(Calc!E195))+1/Val!$D$19*(1-(1-(Val!$D$19*SIN(Calc!E195))^2)^0.5))/Val!$D$26+Val!$D$15/Val!$D$26)</f>
        <v>67342.99225284324</v>
      </c>
      <c r="N195" s="16">
        <f t="shared" si="44"/>
        <v>0.4886335527523776</v>
      </c>
      <c r="O195" s="16">
        <f t="shared" si="45"/>
        <v>0.4688742146670222</v>
      </c>
      <c r="P195" s="16">
        <f t="shared" si="46"/>
        <v>-6.990123164238478E-06</v>
      </c>
      <c r="Q195" s="16">
        <f t="shared" si="47"/>
        <v>-6.982417590116344E-06</v>
      </c>
      <c r="R195" s="13">
        <f t="shared" si="40"/>
        <v>0.9259051340645146</v>
      </c>
      <c r="S195" s="13">
        <f t="shared" si="41"/>
        <v>0.9481693322998875</v>
      </c>
      <c r="T195" s="13">
        <f t="shared" si="42"/>
        <v>0.41372335298163326</v>
      </c>
      <c r="U195" s="13">
        <f t="shared" si="43"/>
        <v>0.39735012160603467</v>
      </c>
      <c r="W195" s="387">
        <f>1*(M195-Val!$D$28)*PI()/4*Val!$D$2^2*(SIN(D195)+Val!$D$18/2*SIN(2*D195)/(1-Val!$D$18^2*SIN(D195)^2)^0.5)*Val!$D$4*(D195-D194)+1*(M195-Val!$D$28)*PI()/4*Val!$D$3^2*(SIN(E195)+Val!$D$19/2*SIN(2*E195)/(1-Val!$D$19^2*SIN(E195)^2)^0.5)*Val!$D$5*(E195-E194)</f>
        <v>-0.2401201211871565</v>
      </c>
    </row>
    <row r="196" spans="2:23" ht="13.5">
      <c r="B196" s="32">
        <v>191</v>
      </c>
      <c r="C196" s="32">
        <f>B196-Data!$D$10</f>
        <v>101</v>
      </c>
      <c r="D196" s="30">
        <f t="shared" si="52"/>
        <v>3.3335788713091694</v>
      </c>
      <c r="E196" s="30">
        <f t="shared" si="53"/>
        <v>1.7627825445142729</v>
      </c>
      <c r="F196" s="26">
        <f>Val!$D$11*(1-COS(D196))+Val!$D$12*(1-COS(E196))</f>
        <v>0.0015862178832989453</v>
      </c>
      <c r="G196" s="26">
        <f>Val!$D$11*((1-COS(Calc!D196))+1/Val!$D$18*(1-(1-(Val!$D$18*SIN(Calc!D196))^2)^0.5))+Val!$D$12*((1-COS(Calc!E196))+1/Val!$D$19*(1-(1-(Val!$D$19*SIN(Calc!E196))^2)^0.5))</f>
        <v>0.0016410162013748319</v>
      </c>
      <c r="H196" s="26">
        <f t="shared" si="54"/>
        <v>-5.479831807588659E-05</v>
      </c>
      <c r="I196" s="22">
        <f>Val!$D$11*(1-COS(D196))+Val!$D$14+Val!$D$13+Val!$D$12*((1-COS(Calc!E196)))+Val!$D$15</f>
        <v>0.002286217883298945</v>
      </c>
      <c r="J196" s="22">
        <f>Val!$D$11*((1-COS(Calc!$D196))+1/Val!$D$18*(1-(1-(Val!$D$18*SIN(Calc!$D196))^2)^0.5))+Val!$D$14+Val!$D$13+Val!$D$12*((1-COS(Calc!$E196))+1/Val!$D$19*(1-(1-(Val!$D$19*SIN(Calc!$E196))^2)^0.5))+Val!$D$15</f>
        <v>0.0023410162013748318</v>
      </c>
      <c r="K196" s="44">
        <f t="shared" si="55"/>
        <v>-5.479831807588681E-05</v>
      </c>
      <c r="L196" s="50">
        <f>Val!$D$42*Val!$D$22/Val!$D$37/(1-Val!$D$39*COS(D196-Val!$D$40))</f>
        <v>69688.91932172</v>
      </c>
      <c r="M196" s="50">
        <f>Val!$D$42*Val!$D$22/(Val!$D$11*((1-COS(Calc!D196))+1/Val!$D$18*(1-(1-(Val!$D$18*SIN(Calc!D196))^2)^0.5))/Val!$D$25+Val!$D$14/Val!$D$25+Val!$D$13/Val!$D$27+Val!$D$12*((1-COS(Calc!E196))+1/Val!$D$19*(1-(1-(Val!$D$19*SIN(Calc!E196))^2)^0.5))/Val!$D$26+Val!$D$15/Val!$D$26)</f>
        <v>66958.40367933421</v>
      </c>
      <c r="N196" s="16">
        <f t="shared" si="44"/>
        <v>0.4732610571585177</v>
      </c>
      <c r="O196" s="16">
        <f t="shared" si="45"/>
        <v>0.4542595940707739</v>
      </c>
      <c r="P196" s="16">
        <f t="shared" si="46"/>
        <v>-6.811555478584584E-06</v>
      </c>
      <c r="Q196" s="16">
        <f t="shared" si="47"/>
        <v>-6.803271778083432E-06</v>
      </c>
      <c r="R196" s="13">
        <f t="shared" si="40"/>
        <v>0.928744776086569</v>
      </c>
      <c r="S196" s="13">
        <f t="shared" si="41"/>
        <v>0.9510058440377445</v>
      </c>
      <c r="T196" s="13">
        <f t="shared" si="42"/>
        <v>0.4111920133146365</v>
      </c>
      <c r="U196" s="13">
        <f t="shared" si="43"/>
        <v>0.39508089787035117</v>
      </c>
      <c r="W196" s="387">
        <f>1*(M196-Val!$D$28)*PI()/4*Val!$D$2^2*(SIN(D196)+Val!$D$18/2*SIN(2*D196)/(1-Val!$D$18^2*SIN(D196)^2)^0.5)*Val!$D$4*(D196-D195)+1*(M196-Val!$D$28)*PI()/4*Val!$D$3^2*(SIN(E196)+Val!$D$19/2*SIN(2*E196)/(1-Val!$D$19^2*SIN(E196)^2)^0.5)*Val!$D$5*(E196-E195)</f>
        <v>-0.2367230985056621</v>
      </c>
    </row>
    <row r="197" spans="2:23" ht="13.5">
      <c r="B197" s="32">
        <v>192</v>
      </c>
      <c r="C197" s="32">
        <f>B197-Data!$D$10</f>
        <v>102</v>
      </c>
      <c r="D197" s="30">
        <f t="shared" si="52"/>
        <v>3.351032163829113</v>
      </c>
      <c r="E197" s="30">
        <f t="shared" si="53"/>
        <v>1.7802358370342162</v>
      </c>
      <c r="F197" s="26">
        <f>Val!$D$11*(1-COS(D197))+Val!$D$12*(1-COS(E197))</f>
        <v>0.0015930294387775299</v>
      </c>
      <c r="G197" s="26">
        <f>Val!$D$11*((1-COS(Calc!D197))+1/Val!$D$18*(1-(1-(Val!$D$18*SIN(Calc!D197))^2)^0.5))+Val!$D$12*((1-COS(Calc!E197))+1/Val!$D$19*(1-(1-(Val!$D$19*SIN(Calc!E197))^2)^0.5))</f>
        <v>0.0016478194731529153</v>
      </c>
      <c r="H197" s="26">
        <f t="shared" si="54"/>
        <v>-5.479003437538544E-05</v>
      </c>
      <c r="I197" s="22">
        <f>Val!$D$11*(1-COS(D197))+Val!$D$14+Val!$D$13+Val!$D$12*((1-COS(Calc!E197)))+Val!$D$15</f>
        <v>0.0022930294387775297</v>
      </c>
      <c r="J197" s="22">
        <f>Val!$D$11*((1-COS(Calc!$D197))+1/Val!$D$18*(1-(1-(Val!$D$18*SIN(Calc!$D197))^2)^0.5))+Val!$D$14+Val!$D$13+Val!$D$12*((1-COS(Calc!$E197))+1/Val!$D$19*(1-(1-(Val!$D$19*SIN(Calc!$E197))^2)^0.5))+Val!$D$15</f>
        <v>0.002347819473152915</v>
      </c>
      <c r="K197" s="44">
        <f t="shared" si="55"/>
        <v>-5.4790034375385224E-05</v>
      </c>
      <c r="L197" s="50">
        <f>Val!$D$42*Val!$D$22/Val!$D$37/(1-Val!$D$39*COS(D197-Val!$D$40))</f>
        <v>69269.37255344051</v>
      </c>
      <c r="M197" s="50">
        <f>Val!$D$42*Val!$D$22/(Val!$D$11*((1-COS(Calc!D197))+1/Val!$D$18*(1-(1-(Val!$D$18*SIN(Calc!D197))^2)^0.5))/Val!$D$25+Val!$D$14/Val!$D$25+Val!$D$13/Val!$D$27+Val!$D$12*((1-COS(Calc!E197))+1/Val!$D$19*(1-(1-(Val!$D$19*SIN(Calc!E197))^2)^0.5))/Val!$D$26+Val!$D$15/Val!$D$26)</f>
        <v>66583.10660816426</v>
      </c>
      <c r="N197" s="16">
        <f t="shared" si="44"/>
        <v>0.4579591689675081</v>
      </c>
      <c r="O197" s="16">
        <f t="shared" si="45"/>
        <v>0.4397071054347406</v>
      </c>
      <c r="P197" s="16">
        <f t="shared" si="46"/>
        <v>-6.63091292714673E-06</v>
      </c>
      <c r="Q197" s="16">
        <f t="shared" si="47"/>
        <v>-6.6220914728093265E-06</v>
      </c>
      <c r="R197" s="13">
        <f aca="true" t="shared" si="56" ref="R197:R260">I197/$J$366</f>
        <v>0.9315118774262852</v>
      </c>
      <c r="S197" s="13">
        <f aca="true" t="shared" si="57" ref="S197:S260">J197/$J$366</f>
        <v>0.9537695802373207</v>
      </c>
      <c r="T197" s="13">
        <f aca="true" t="shared" si="58" ref="T197:T260">L197/$M$366</f>
        <v>0.4087165224904486</v>
      </c>
      <c r="U197" s="13">
        <f aca="true" t="shared" si="59" ref="U197:U260">M197/$M$366</f>
        <v>0.3928664976502381</v>
      </c>
      <c r="W197" s="387">
        <f>1*(M197-Val!$D$28)*PI()/4*Val!$D$2^2*(SIN(D197)+Val!$D$18/2*SIN(2*D197)/(1-Val!$D$18^2*SIN(D197)^2)^0.5)*Val!$D$4*(D197-D196)+1*(M197-Val!$D$28)*PI()/4*Val!$D$3^2*(SIN(E197)+Val!$D$19/2*SIN(2*E197)/(1-Val!$D$19^2*SIN(E197)^2)^0.5)*Val!$D$5*(E197-E196)</f>
        <v>-0.23305505795928633</v>
      </c>
    </row>
    <row r="198" spans="2:23" ht="13.5">
      <c r="B198" s="32">
        <v>193</v>
      </c>
      <c r="C198" s="32">
        <f>B198-Data!$D$10</f>
        <v>103</v>
      </c>
      <c r="D198" s="30">
        <f t="shared" si="52"/>
        <v>3.368485456349056</v>
      </c>
      <c r="E198" s="30">
        <f t="shared" si="53"/>
        <v>1.7976891295541595</v>
      </c>
      <c r="F198" s="26">
        <f>Val!$D$11*(1-COS(D198))+Val!$D$12*(1-COS(E198))</f>
        <v>0.0015996603517046766</v>
      </c>
      <c r="G198" s="26">
        <f>Val!$D$11*((1-COS(Calc!D198))+1/Val!$D$18*(1-(1-(Val!$D$18*SIN(Calc!D198))^2)^0.5))+Val!$D$12*((1-COS(Calc!E198))+1/Val!$D$19*(1-(1-(Val!$D$19*SIN(Calc!E198))^2)^0.5))</f>
        <v>0.0016544415646257246</v>
      </c>
      <c r="H198" s="26">
        <f t="shared" si="54"/>
        <v>-5.478121292104804E-05</v>
      </c>
      <c r="I198" s="22">
        <f>Val!$D$11*(1-COS(D198))+Val!$D$14+Val!$D$13+Val!$D$12*((1-COS(Calc!E198)))+Val!$D$15</f>
        <v>0.0022996603517046765</v>
      </c>
      <c r="J198" s="22">
        <f>Val!$D$11*((1-COS(Calc!$D198))+1/Val!$D$18*(1-(1-(Val!$D$18*SIN(Calc!$D198))^2)^0.5))+Val!$D$14+Val!$D$13+Val!$D$12*((1-COS(Calc!$E198))+1/Val!$D$19*(1-(1-(Val!$D$19*SIN(Calc!$E198))^2)^0.5))+Val!$D$15</f>
        <v>0.0023544415646257243</v>
      </c>
      <c r="K198" s="44">
        <f t="shared" si="55"/>
        <v>-5.478121292104782E-05</v>
      </c>
      <c r="L198" s="50">
        <f>Val!$D$42*Val!$D$22/Val!$D$37/(1-Val!$D$39*COS(D198-Val!$D$40))</f>
        <v>68859.16992602382</v>
      </c>
      <c r="M198" s="50">
        <f>Val!$D$42*Val!$D$22/(Val!$D$11*((1-COS(Calc!D198))+1/Val!$D$18*(1-(1-(Val!$D$18*SIN(Calc!D198))^2)^0.5))/Val!$D$25+Val!$D$14/Val!$D$25+Val!$D$13/Val!$D$27+Val!$D$12*((1-COS(Calc!E198))+1/Val!$D$19*(1-(1-(Val!$D$19*SIN(Calc!E198))^2)^0.5))/Val!$D$26+Val!$D$15/Val!$D$26)</f>
        <v>66216.96335166709</v>
      </c>
      <c r="N198" s="16">
        <f t="shared" si="44"/>
        <v>0.4427283774489824</v>
      </c>
      <c r="O198" s="16">
        <f t="shared" si="45"/>
        <v>0.4252169266887506</v>
      </c>
      <c r="P198" s="16">
        <f t="shared" si="46"/>
        <v>-6.448250535396292E-06</v>
      </c>
      <c r="Q198" s="16">
        <f t="shared" si="47"/>
        <v>-6.438934319424015E-06</v>
      </c>
      <c r="R198" s="13">
        <f t="shared" si="56"/>
        <v>0.9342055951977891</v>
      </c>
      <c r="S198" s="13">
        <f t="shared" si="57"/>
        <v>0.9564597144135368</v>
      </c>
      <c r="T198" s="13">
        <f t="shared" si="58"/>
        <v>0.4062961657698092</v>
      </c>
      <c r="U198" s="13">
        <f t="shared" si="59"/>
        <v>0.39070610853434995</v>
      </c>
      <c r="W198" s="387">
        <f>1*(M198-Val!$D$28)*PI()/4*Val!$D$2^2*(SIN(D198)+Val!$D$18/2*SIN(2*D198)/(1-Val!$D$18^2*SIN(D198)^2)^0.5)*Val!$D$4*(D198-D197)+1*(M198-Val!$D$28)*PI()/4*Val!$D$3^2*(SIN(E198)+Val!$D$19/2*SIN(2*E198)/(1-Val!$D$19^2*SIN(E198)^2)^0.5)*Val!$D$5*(E198-E197)</f>
        <v>-0.2291216129804734</v>
      </c>
    </row>
    <row r="199" spans="2:23" ht="13.5">
      <c r="B199" s="32">
        <v>194</v>
      </c>
      <c r="C199" s="32">
        <f>B199-Data!$D$10</f>
        <v>104</v>
      </c>
      <c r="D199" s="30">
        <f t="shared" si="52"/>
        <v>3.385938748868999</v>
      </c>
      <c r="E199" s="30">
        <f t="shared" si="53"/>
        <v>1.8151424220741028</v>
      </c>
      <c r="F199" s="26">
        <f>Val!$D$11*(1-COS(D199))+Val!$D$12*(1-COS(E199))</f>
        <v>0.0016061086022400729</v>
      </c>
      <c r="G199" s="26">
        <f>Val!$D$11*((1-COS(Calc!D199))+1/Val!$D$18*(1-(1-(Val!$D$18*SIN(Calc!D199))^2)^0.5))+Val!$D$12*((1-COS(Calc!E199))+1/Val!$D$19*(1-(1-(Val!$D$19*SIN(Calc!E199))^2)^0.5))</f>
        <v>0.0016608804989451486</v>
      </c>
      <c r="H199" s="26">
        <f t="shared" si="54"/>
        <v>-5.477189670507576E-05</v>
      </c>
      <c r="I199" s="22">
        <f>Val!$D$11*(1-COS(D199))+Val!$D$14+Val!$D$13+Val!$D$12*((1-COS(Calc!E199)))+Val!$D$15</f>
        <v>0.0023061086022400728</v>
      </c>
      <c r="J199" s="22">
        <f>Val!$D$11*((1-COS(Calc!$D199))+1/Val!$D$18*(1-(1-(Val!$D$18*SIN(Calc!$D199))^2)^0.5))+Val!$D$14+Val!$D$13+Val!$D$12*((1-COS(Calc!$E199))+1/Val!$D$19*(1-(1-(Val!$D$19*SIN(Calc!$E199))^2)^0.5))+Val!$D$15</f>
        <v>0.0023608804989451483</v>
      </c>
      <c r="K199" s="44">
        <f t="shared" si="55"/>
        <v>-5.4771896705075544E-05</v>
      </c>
      <c r="L199" s="50">
        <f>Val!$D$42*Val!$D$22/Val!$D$37/(1-Val!$D$39*COS(D199-Val!$D$40))</f>
        <v>68458.19236277674</v>
      </c>
      <c r="M199" s="50">
        <f>Val!$D$42*Val!$D$22/(Val!$D$11*((1-COS(Calc!D199))+1/Val!$D$18*(1-(1-(Val!$D$18*SIN(Calc!D199))^2)^0.5))/Val!$D$25+Val!$D$14/Val!$D$25+Val!$D$13/Val!$D$27+Val!$D$12*((1-COS(Calc!E199))+1/Val!$D$19*(1-(1-(Val!$D$19*SIN(Calc!E199))^2)^0.5))/Val!$D$26+Val!$D$15/Val!$D$26)</f>
        <v>65859.83867627708</v>
      </c>
      <c r="N199" s="16">
        <f aca="true" t="shared" si="60" ref="N199:N262">(L199+L200)/2*(I200-I199)</f>
        <v>0.4275691113030413</v>
      </c>
      <c r="O199" s="16">
        <f aca="true" t="shared" si="61" ref="O199:O262">(M199+M200)/2*(J200-J199)</f>
        <v>0.41078918503454465</v>
      </c>
      <c r="P199" s="16">
        <f aca="true" t="shared" si="62" ref="P199:P262">F199-F200</f>
        <v>-6.2636239440670444E-06</v>
      </c>
      <c r="Q199" s="16">
        <f aca="true" t="shared" si="63" ref="Q199:Q262">G199-G200</f>
        <v>-6.25385836857794E-06</v>
      </c>
      <c r="R199" s="13">
        <f t="shared" si="56"/>
        <v>0.9368251088685531</v>
      </c>
      <c r="S199" s="13">
        <f t="shared" si="57"/>
        <v>0.9590754434988594</v>
      </c>
      <c r="T199" s="13">
        <f t="shared" si="58"/>
        <v>0.4039302405534287</v>
      </c>
      <c r="U199" s="13">
        <f t="shared" si="59"/>
        <v>0.38859893259149986</v>
      </c>
      <c r="W199" s="387">
        <f>1*(M199-Val!$D$28)*PI()/4*Val!$D$2^2*(SIN(D199)+Val!$D$18/2*SIN(2*D199)/(1-Val!$D$18^2*SIN(D199)^2)^0.5)*Val!$D$4*(D199-D198)+1*(M199-Val!$D$28)*PI()/4*Val!$D$3^2*(SIN(E199)+Val!$D$19/2*SIN(2*E199)/(1-Val!$D$19^2*SIN(E199)^2)^0.5)*Val!$D$5*(E199-E198)</f>
        <v>-0.22492847187618223</v>
      </c>
    </row>
    <row r="200" spans="2:23" ht="13.5">
      <c r="B200" s="32">
        <v>195</v>
      </c>
      <c r="C200" s="32">
        <f>B200-Data!$D$10</f>
        <v>105</v>
      </c>
      <c r="D200" s="30">
        <f t="shared" si="52"/>
        <v>3.4033920413889427</v>
      </c>
      <c r="E200" s="30">
        <f t="shared" si="53"/>
        <v>1.8325957145940461</v>
      </c>
      <c r="F200" s="26">
        <f>Val!$D$11*(1-COS(D200))+Val!$D$12*(1-COS(E200))</f>
        <v>0.00161237222618414</v>
      </c>
      <c r="G200" s="26">
        <f>Val!$D$11*((1-COS(Calc!D200))+1/Val!$D$18*(1-(1-(Val!$D$18*SIN(Calc!D200))^2)^0.5))+Val!$D$12*((1-COS(Calc!E200))+1/Val!$D$19*(1-(1-(Val!$D$19*SIN(Calc!E200))^2)^0.5))</f>
        <v>0.0016671343573137266</v>
      </c>
      <c r="H200" s="26">
        <f t="shared" si="54"/>
        <v>-5.4762131129586656E-05</v>
      </c>
      <c r="I200" s="22">
        <f>Val!$D$11*(1-COS(D200))+Val!$D$14+Val!$D$13+Val!$D$12*((1-COS(Calc!E200)))+Val!$D$15</f>
        <v>0.0023123722261841396</v>
      </c>
      <c r="J200" s="22">
        <f>Val!$D$11*((1-COS(Calc!$D200))+1/Val!$D$18*(1-(1-(Val!$D$18*SIN(Calc!$D200))^2)^0.5))+Val!$D$14+Val!$D$13+Val!$D$12*((1-COS(Calc!$E200))+1/Val!$D$19*(1-(1-(Val!$D$19*SIN(Calc!$E200))^2)^0.5))+Val!$D$15</f>
        <v>0.0023671343573137263</v>
      </c>
      <c r="K200" s="44">
        <f t="shared" si="55"/>
        <v>-5.4762131129586656E-05</v>
      </c>
      <c r="L200" s="50">
        <f>Val!$D$42*Val!$D$22/Val!$D$37/(1-Val!$D$39*COS(D200-Val!$D$40))</f>
        <v>68066.32287669677</v>
      </c>
      <c r="M200" s="50">
        <f>Val!$D$42*Val!$D$22/(Val!$D$11*((1-COS(Calc!D200))+1/Val!$D$18*(1-(1-(Val!$D$18*SIN(Calc!D200))^2)^0.5))/Val!$D$25+Val!$D$14/Val!$D$25+Val!$D$13/Val!$D$27+Val!$D$12*((1-COS(Calc!E200))+1/Val!$D$19*(1-(1-(Val!$D$19*SIN(Calc!E200))^2)^0.5))/Val!$D$26+Val!$D$15/Val!$D$26)</f>
        <v>65511.59982592029</v>
      </c>
      <c r="N200" s="16">
        <f t="shared" si="60"/>
        <v>0.4124817420359235</v>
      </c>
      <c r="O200" s="16">
        <f t="shared" si="61"/>
        <v>0.39642396005483427</v>
      </c>
      <c r="P200" s="16">
        <f t="shared" si="62"/>
        <v>-6.077089392207344E-06</v>
      </c>
      <c r="Q200" s="16">
        <f t="shared" si="63"/>
        <v>-6.0669220477594255E-06</v>
      </c>
      <c r="R200" s="13">
        <f t="shared" si="56"/>
        <v>0.9393696205093371</v>
      </c>
      <c r="S200" s="13">
        <f t="shared" si="57"/>
        <v>0.9616159880080385</v>
      </c>
      <c r="T200" s="13">
        <f t="shared" si="58"/>
        <v>0.40161805657201377</v>
      </c>
      <c r="U200" s="13">
        <f t="shared" si="59"/>
        <v>0.3865441865086752</v>
      </c>
      <c r="W200" s="387">
        <f>1*(M200-Val!$D$28)*PI()/4*Val!$D$2^2*(SIN(D200)+Val!$D$18/2*SIN(2*D200)/(1-Val!$D$18^2*SIN(D200)^2)^0.5)*Val!$D$4*(D200-D199)+1*(M200-Val!$D$28)*PI()/4*Val!$D$3^2*(SIN(E200)+Val!$D$19/2*SIN(2*E200)/(1-Val!$D$19^2*SIN(E200)^2)^0.5)*Val!$D$5*(E200-E199)</f>
        <v>-0.22048143171620738</v>
      </c>
    </row>
    <row r="201" spans="2:23" ht="13.5">
      <c r="B201" s="32">
        <v>196</v>
      </c>
      <c r="C201" s="32">
        <f>B201-Data!$D$10</f>
        <v>106</v>
      </c>
      <c r="D201" s="30">
        <f t="shared" si="52"/>
        <v>3.420845333908886</v>
      </c>
      <c r="E201" s="30">
        <f t="shared" si="53"/>
        <v>1.8500490071139892</v>
      </c>
      <c r="F201" s="26">
        <f>Val!$D$11*(1-COS(D201))+Val!$D$12*(1-COS(E201))</f>
        <v>0.0016184493155763473</v>
      </c>
      <c r="G201" s="26">
        <f>Val!$D$11*((1-COS(Calc!D201))+1/Val!$D$18*(1-(1-(Val!$D$18*SIN(Calc!D201))^2)^0.5))+Val!$D$12*((1-COS(Calc!E201))+1/Val!$D$19*(1-(1-(Val!$D$19*SIN(Calc!E201))^2)^0.5))</f>
        <v>0.001673201279361486</v>
      </c>
      <c r="H201" s="26">
        <f t="shared" si="54"/>
        <v>-5.475196378513874E-05</v>
      </c>
      <c r="I201" s="22">
        <f>Val!$D$11*(1-COS(D201))+Val!$D$14+Val!$D$13+Val!$D$12*((1-COS(Calc!E201)))+Val!$D$15</f>
        <v>0.002318449315576347</v>
      </c>
      <c r="J201" s="22">
        <f>Val!$D$11*((1-COS(Calc!$D201))+1/Val!$D$18*(1-(1-(Val!$D$18*SIN(Calc!$D201))^2)^0.5))+Val!$D$14+Val!$D$13+Val!$D$12*((1-COS(Calc!$E201))+1/Val!$D$19*(1-(1-(Val!$D$19*SIN(Calc!$E201))^2)^0.5))+Val!$D$15</f>
        <v>0.002373201279361486</v>
      </c>
      <c r="K201" s="44">
        <f t="shared" si="55"/>
        <v>-5.4751963785138955E-05</v>
      </c>
      <c r="L201" s="50">
        <f>Val!$D$42*Val!$D$22/Val!$D$37/(1-Val!$D$39*COS(D201-Val!$D$40))</f>
        <v>67683.44659842373</v>
      </c>
      <c r="M201" s="50">
        <f>Val!$D$42*Val!$D$22/(Val!$D$11*((1-COS(Calc!D201))+1/Val!$D$18*(1-(1-(Val!$D$18*SIN(Calc!D201))^2)^0.5))/Val!$D$25+Val!$D$14/Val!$D$25+Val!$D$13/Val!$D$27+Val!$D$12*((1-COS(Calc!E201))+1/Val!$D$19*(1-(1-(Val!$D$19*SIN(Calc!E201))^2)^0.5))/Val!$D$26+Val!$D$15/Val!$D$26)</f>
        <v>65172.116541005315</v>
      </c>
      <c r="N201" s="16">
        <f t="shared" si="60"/>
        <v>0.3974665871959461</v>
      </c>
      <c r="O201" s="16">
        <f t="shared" si="61"/>
        <v>0.382121286718695</v>
      </c>
      <c r="P201" s="16">
        <f t="shared" si="62"/>
        <v>-5.888703700049087E-06</v>
      </c>
      <c r="Q201" s="16">
        <f t="shared" si="63"/>
        <v>-5.878184133515036E-06</v>
      </c>
      <c r="R201" s="13">
        <f t="shared" si="56"/>
        <v>0.9418383550372464</v>
      </c>
      <c r="S201" s="13">
        <f t="shared" si="57"/>
        <v>0.9640805921911929</v>
      </c>
      <c r="T201" s="13">
        <f t="shared" si="58"/>
        <v>0.3993589360511932</v>
      </c>
      <c r="U201" s="13">
        <f t="shared" si="59"/>
        <v>0.38454110170309197</v>
      </c>
      <c r="W201" s="387">
        <f>1*(M201-Val!$D$28)*PI()/4*Val!$D$2^2*(SIN(D201)+Val!$D$18/2*SIN(2*D201)/(1-Val!$D$18^2*SIN(D201)^2)^0.5)*Val!$D$4*(D201-D200)+1*(M201-Val!$D$28)*PI()/4*Val!$D$3^2*(SIN(E201)+Val!$D$19/2*SIN(2*E201)/(1-Val!$D$19^2*SIN(E201)^2)^0.5)*Val!$D$5*(E201-E200)</f>
        <v>-0.21578637241680743</v>
      </c>
    </row>
    <row r="202" spans="2:23" ht="13.5">
      <c r="B202" s="32">
        <v>197</v>
      </c>
      <c r="C202" s="32">
        <f>B202-Data!$D$10</f>
        <v>107</v>
      </c>
      <c r="D202" s="30">
        <f t="shared" si="52"/>
        <v>3.4382986264288293</v>
      </c>
      <c r="E202" s="30">
        <f t="shared" si="53"/>
        <v>1.8675022996339325</v>
      </c>
      <c r="F202" s="26">
        <f>Val!$D$11*(1-COS(D202))+Val!$D$12*(1-COS(E202))</f>
        <v>0.0016243380192763964</v>
      </c>
      <c r="G202" s="26">
        <f>Val!$D$11*((1-COS(Calc!D202))+1/Val!$D$18*(1-(1-(Val!$D$18*SIN(Calc!D202))^2)^0.5))+Val!$D$12*((1-COS(Calc!E202))+1/Val!$D$19*(1-(1-(Val!$D$19*SIN(Calc!E202))^2)^0.5))</f>
        <v>0.001679079463495001</v>
      </c>
      <c r="H202" s="26">
        <f t="shared" si="54"/>
        <v>-5.474144421860469E-05</v>
      </c>
      <c r="I202" s="22">
        <f>Val!$D$11*(1-COS(D202))+Val!$D$14+Val!$D$13+Val!$D$12*((1-COS(Calc!E202)))+Val!$D$15</f>
        <v>0.002324338019276396</v>
      </c>
      <c r="J202" s="22">
        <f>Val!$D$11*((1-COS(Calc!$D202))+1/Val!$D$18*(1-(1-(Val!$D$18*SIN(Calc!$D202))^2)^0.5))+Val!$D$14+Val!$D$13+Val!$D$12*((1-COS(Calc!$E202))+1/Val!$D$19*(1-(1-(Val!$D$19*SIN(Calc!$E202))^2)^0.5))+Val!$D$15</f>
        <v>0.0023790794634950007</v>
      </c>
      <c r="K202" s="44">
        <f t="shared" si="55"/>
        <v>-5.474144421860469E-05</v>
      </c>
      <c r="L202" s="50">
        <f>Val!$D$42*Val!$D$22/Val!$D$37/(1-Val!$D$39*COS(D202-Val!$D$40))</f>
        <v>67309.45080024583</v>
      </c>
      <c r="M202" s="50">
        <f>Val!$D$42*Val!$D$22/(Val!$D$11*((1-COS(Calc!D202))+1/Val!$D$18*(1-(1-(Val!$D$18*SIN(Calc!D202))^2)^0.5))/Val!$D$25+Val!$D$14/Val!$D$25+Val!$D$13/Val!$D$27+Val!$D$12*((1-COS(Calc!E202))+1/Val!$D$19*(1-(1-(Val!$D$19*SIN(Calc!E202))^2)^0.5))/Val!$D$26+Val!$D$15/Val!$D$26)</f>
        <v>64841.261073352696</v>
      </c>
      <c r="N202" s="16">
        <f t="shared" si="60"/>
        <v>0.3825239134756125</v>
      </c>
      <c r="O202" s="16">
        <f t="shared" si="61"/>
        <v>0.3678811582904689</v>
      </c>
      <c r="P202" s="16">
        <f t="shared" si="62"/>
        <v>-5.698524251698204E-06</v>
      </c>
      <c r="Q202" s="16">
        <f t="shared" si="63"/>
        <v>-5.687703724637904E-06</v>
      </c>
      <c r="R202" s="13">
        <f t="shared" si="56"/>
        <v>0.9442305604518285</v>
      </c>
      <c r="S202" s="13">
        <f t="shared" si="57"/>
        <v>0.9664685241756105</v>
      </c>
      <c r="T202" s="13">
        <f t="shared" si="58"/>
        <v>0.3971522138531629</v>
      </c>
      <c r="U202" s="13">
        <f t="shared" si="59"/>
        <v>0.3825889244102833</v>
      </c>
      <c r="W202" s="387">
        <f>1*(M202-Val!$D$28)*PI()/4*Val!$D$2^2*(SIN(D202)+Val!$D$18/2*SIN(2*D202)/(1-Val!$D$18^2*SIN(D202)^2)^0.5)*Val!$D$4*(D202-D201)+1*(M202-Val!$D$28)*PI()/4*Val!$D$3^2*(SIN(E202)+Val!$D$19/2*SIN(2*E202)/(1-Val!$D$19^2*SIN(E202)^2)^0.5)*Val!$D$5*(E202-E201)</f>
        <v>-0.21084925101914165</v>
      </c>
    </row>
    <row r="203" spans="2:23" ht="13.5">
      <c r="B203" s="32">
        <v>198</v>
      </c>
      <c r="C203" s="32">
        <f>B203-Data!$D$10</f>
        <v>108</v>
      </c>
      <c r="D203" s="30">
        <f t="shared" si="52"/>
        <v>3.4557519189487724</v>
      </c>
      <c r="E203" s="30">
        <f t="shared" si="53"/>
        <v>1.8849555921538759</v>
      </c>
      <c r="F203" s="26">
        <f>Val!$D$11*(1-COS(D203))+Val!$D$12*(1-COS(E203))</f>
        <v>0.0016300365435280946</v>
      </c>
      <c r="G203" s="26">
        <f>Val!$D$11*((1-COS(Calc!D203))+1/Val!$D$18*(1-(1-(Val!$D$18*SIN(Calc!D203))^2)^0.5))+Val!$D$12*((1-COS(Calc!E203))+1/Val!$D$19*(1-(1-(Val!$D$19*SIN(Calc!E203))^2)^0.5))</f>
        <v>0.001684767167219639</v>
      </c>
      <c r="H203" s="26">
        <f t="shared" si="54"/>
        <v>-5.473062369154439E-05</v>
      </c>
      <c r="I203" s="22">
        <f>Val!$D$11*(1-COS(D203))+Val!$D$14+Val!$D$13+Val!$D$12*((1-COS(Calc!E203)))+Val!$D$15</f>
        <v>0.0023300365435280942</v>
      </c>
      <c r="J203" s="22">
        <f>Val!$D$11*((1-COS(Calc!$D203))+1/Val!$D$18*(1-(1-(Val!$D$18*SIN(Calc!$D203))^2)^0.5))+Val!$D$14+Val!$D$13+Val!$D$12*((1-COS(Calc!$E203))+1/Val!$D$19*(1-(1-(Val!$D$19*SIN(Calc!$E203))^2)^0.5))+Val!$D$15</f>
        <v>0.0023847671672196386</v>
      </c>
      <c r="K203" s="44">
        <f t="shared" si="55"/>
        <v>-5.473062369154439E-05</v>
      </c>
      <c r="L203" s="50">
        <f>Val!$D$42*Val!$D$22/Val!$D$37/(1-Val!$D$39*COS(D203-Val!$D$40))</f>
        <v>66944.22491645132</v>
      </c>
      <c r="M203" s="50">
        <f>Val!$D$42*Val!$D$22/(Val!$D$11*((1-COS(Calc!D203))+1/Val!$D$18*(1-(1-(Val!$D$18*SIN(Calc!D203))^2)^0.5))/Val!$D$25+Val!$D$14/Val!$D$25+Val!$D$13/Val!$D$27+Val!$D$12*((1-COS(Calc!E203))+1/Val!$D$19*(1-(1-(Val!$D$19*SIN(Calc!E203))^2)^0.5))/Val!$D$26+Val!$D$15/Val!$D$26)</f>
        <v>64518.9081973803</v>
      </c>
      <c r="N203" s="16">
        <f t="shared" si="60"/>
        <v>0.3676539396848804</v>
      </c>
      <c r="O203" s="16">
        <f t="shared" si="61"/>
        <v>0.3537035291460458</v>
      </c>
      <c r="P203" s="16">
        <f t="shared" si="62"/>
        <v>-5.506608977657104E-06</v>
      </c>
      <c r="Q203" s="16">
        <f t="shared" si="63"/>
        <v>-5.495540216354615E-06</v>
      </c>
      <c r="R203" s="13">
        <f t="shared" si="56"/>
        <v>0.9465455080641403</v>
      </c>
      <c r="S203" s="13">
        <f t="shared" si="57"/>
        <v>0.9687790760966563</v>
      </c>
      <c r="T203" s="13">
        <f t="shared" si="58"/>
        <v>0.39499723759676864</v>
      </c>
      <c r="U203" s="13">
        <f t="shared" si="59"/>
        <v>0.38068691575009816</v>
      </c>
      <c r="W203" s="387">
        <f>1*(M203-Val!$D$28)*PI()/4*Val!$D$2^2*(SIN(D203)+Val!$D$18/2*SIN(2*D203)/(1-Val!$D$18^2*SIN(D203)^2)^0.5)*Val!$D$4*(D203-D202)+1*(M203-Val!$D$28)*PI()/4*Val!$D$3^2*(SIN(E203)+Val!$D$19/2*SIN(2*E203)/(1-Val!$D$19^2*SIN(E203)^2)^0.5)*Val!$D$5*(E203-E202)</f>
        <v>-0.2056760961617993</v>
      </c>
    </row>
    <row r="204" spans="2:23" ht="13.5">
      <c r="B204" s="32">
        <v>199</v>
      </c>
      <c r="C204" s="32">
        <f>B204-Data!$D$10</f>
        <v>109</v>
      </c>
      <c r="D204" s="30">
        <f t="shared" si="52"/>
        <v>3.473205211468716</v>
      </c>
      <c r="E204" s="30">
        <f t="shared" si="53"/>
        <v>1.9024088846738192</v>
      </c>
      <c r="F204" s="26">
        <f>Val!$D$11*(1-COS(D204))+Val!$D$12*(1-COS(E204))</f>
        <v>0.0016355431525057517</v>
      </c>
      <c r="G204" s="26">
        <f>Val!$D$11*((1-COS(Calc!D204))+1/Val!$D$18*(1-(1-(Val!$D$18*SIN(Calc!D204))^2)^0.5))+Val!$D$12*((1-COS(Calc!E204))+1/Val!$D$19*(1-(1-(Val!$D$19*SIN(Calc!E204))^2)^0.5))</f>
        <v>0.0016902627074359936</v>
      </c>
      <c r="H204" s="26">
        <f t="shared" si="54"/>
        <v>-5.47195549302419E-05</v>
      </c>
      <c r="I204" s="22">
        <f>Val!$D$11*(1-COS(D204))+Val!$D$14+Val!$D$13+Val!$D$12*((1-COS(Calc!E204)))+Val!$D$15</f>
        <v>0.0023355431525057513</v>
      </c>
      <c r="J204" s="22">
        <f>Val!$D$11*((1-COS(Calc!$D204))+1/Val!$D$18*(1-(1-(Val!$D$18*SIN(Calc!$D204))^2)^0.5))+Val!$D$14+Val!$D$13+Val!$D$12*((1-COS(Calc!$E204))+1/Val!$D$19*(1-(1-(Val!$D$19*SIN(Calc!$E204))^2)^0.5))+Val!$D$15</f>
        <v>0.0023902627074359932</v>
      </c>
      <c r="K204" s="44">
        <f t="shared" si="55"/>
        <v>-5.47195549302419E-05</v>
      </c>
      <c r="L204" s="50">
        <f>Val!$D$42*Val!$D$22/Val!$D$37/(1-Val!$D$39*COS(D204-Val!$D$40))</f>
        <v>66587.66056030031</v>
      </c>
      <c r="M204" s="50">
        <f>Val!$D$42*Val!$D$22/(Val!$D$11*((1-COS(Calc!D204))+1/Val!$D$18*(1-(1-(Val!$D$18*SIN(Calc!D204))^2)^0.5))/Val!$D$25+Val!$D$14/Val!$D$25+Val!$D$13/Val!$D$27+Val!$D$12*((1-COS(Calc!E204))+1/Val!$D$19*(1-(1-(Val!$D$19*SIN(Calc!E204))^2)^0.5))/Val!$D$26+Val!$D$15/Val!$D$26)</f>
        <v>64204.935217842605</v>
      </c>
      <c r="N204" s="16">
        <f t="shared" si="60"/>
        <v>0.3528568396005832</v>
      </c>
      <c r="O204" s="16">
        <f t="shared" si="61"/>
        <v>0.33958831750420543</v>
      </c>
      <c r="P204" s="16">
        <f t="shared" si="62"/>
        <v>-5.313016337178634E-06</v>
      </c>
      <c r="Q204" s="16">
        <f t="shared" si="63"/>
        <v>-5.301753275572217E-06</v>
      </c>
      <c r="R204" s="13">
        <f t="shared" si="56"/>
        <v>0.9487824927187134</v>
      </c>
      <c r="S204" s="13">
        <f t="shared" si="57"/>
        <v>0.9710115642181943</v>
      </c>
      <c r="T204" s="13">
        <f t="shared" si="58"/>
        <v>0.39289336775764666</v>
      </c>
      <c r="U204" s="13">
        <f t="shared" si="59"/>
        <v>0.3788343517723661</v>
      </c>
      <c r="W204" s="387">
        <f>1*(M204-Val!$D$28)*PI()/4*Val!$D$2^2*(SIN(D204)+Val!$D$18/2*SIN(2*D204)/(1-Val!$D$18^2*SIN(D204)^2)^0.5)*Val!$D$4*(D204-D203)+1*(M204-Val!$D$28)*PI()/4*Val!$D$3^2*(SIN(E204)+Val!$D$19/2*SIN(2*E204)/(1-Val!$D$19^2*SIN(E204)^2)^0.5)*Val!$D$5*(E204-E203)</f>
        <v>-0.20027300274653603</v>
      </c>
    </row>
    <row r="205" spans="2:23" ht="13.5">
      <c r="B205" s="32">
        <v>200</v>
      </c>
      <c r="C205" s="32">
        <f>B205-Data!$D$10</f>
        <v>110</v>
      </c>
      <c r="D205" s="30">
        <f t="shared" si="52"/>
        <v>3.490658503988659</v>
      </c>
      <c r="E205" s="30">
        <f t="shared" si="53"/>
        <v>1.9198621771937625</v>
      </c>
      <c r="F205" s="26">
        <f>Val!$D$11*(1-COS(D205))+Val!$D$12*(1-COS(E205))</f>
        <v>0.0016408561688429303</v>
      </c>
      <c r="G205" s="26">
        <f>Val!$D$11*((1-COS(Calc!D205))+1/Val!$D$18*(1-(1-(Val!$D$18*SIN(Calc!D205))^2)^0.5))+Val!$D$12*((1-COS(Calc!E205))+1/Val!$D$19*(1-(1-(Val!$D$19*SIN(Calc!E205))^2)^0.5))</f>
        <v>0.0016955644607115658</v>
      </c>
      <c r="H205" s="26">
        <f t="shared" si="54"/>
        <v>-5.470829186863548E-05</v>
      </c>
      <c r="I205" s="22">
        <f>Val!$D$11*(1-COS(D205))+Val!$D$14+Val!$D$13+Val!$D$12*((1-COS(Calc!E205)))+Val!$D$15</f>
        <v>0.00234085616884293</v>
      </c>
      <c r="J205" s="22">
        <f>Val!$D$11*((1-COS(Calc!$D205))+1/Val!$D$18*(1-(1-(Val!$D$18*SIN(Calc!$D205))^2)^0.5))+Val!$D$14+Val!$D$13+Val!$D$12*((1-COS(Calc!$E205))+1/Val!$D$19*(1-(1-(Val!$D$19*SIN(Calc!$E205))^2)^0.5))+Val!$D$15</f>
        <v>0.0023955644607115655</v>
      </c>
      <c r="K205" s="44">
        <f t="shared" si="55"/>
        <v>-5.4708291868635264E-05</v>
      </c>
      <c r="L205" s="50">
        <f>Val!$D$42*Val!$D$22/Val!$D$37/(1-Val!$D$39*COS(D205-Val!$D$40))</f>
        <v>66239.65153787631</v>
      </c>
      <c r="M205" s="50">
        <f>Val!$D$42*Val!$D$22/(Val!$D$11*((1-COS(Calc!D205))+1/Val!$D$18*(1-(1-(Val!$D$18*SIN(Calc!D205))^2)^0.5))/Val!$D$25+Val!$D$14/Val!$D$25+Val!$D$13/Val!$D$27+Val!$D$12*((1-COS(Calc!E205))+1/Val!$D$19*(1-(1-(Val!$D$19*SIN(Calc!E205))^2)^0.5))/Val!$D$26+Val!$D$15/Val!$D$26)</f>
        <v>63899.22197440387</v>
      </c>
      <c r="N205" s="16">
        <f t="shared" si="60"/>
        <v>0.3381327446965834</v>
      </c>
      <c r="O205" s="16">
        <f t="shared" si="61"/>
        <v>0.325535408077491</v>
      </c>
      <c r="P205" s="16">
        <f t="shared" si="62"/>
        <v>-5.117805300454805E-06</v>
      </c>
      <c r="Q205" s="16">
        <f t="shared" si="63"/>
        <v>-5.106402817224836E-06</v>
      </c>
      <c r="R205" s="13">
        <f t="shared" si="56"/>
        <v>0.9509408330083525</v>
      </c>
      <c r="S205" s="13">
        <f t="shared" si="57"/>
        <v>0.9731653290429548</v>
      </c>
      <c r="T205" s="13">
        <f t="shared" si="58"/>
        <v>0.3908399777499531</v>
      </c>
      <c r="U205" s="13">
        <f t="shared" si="59"/>
        <v>0.3770305234838803</v>
      </c>
      <c r="W205" s="387">
        <f>1*(M205-Val!$D$28)*PI()/4*Val!$D$2^2*(SIN(D205)+Val!$D$18/2*SIN(2*D205)/(1-Val!$D$18^2*SIN(D205)^2)^0.5)*Val!$D$4*(D205-D204)+1*(M205-Val!$D$28)*PI()/4*Val!$D$3^2*(SIN(E205)+Val!$D$19/2*SIN(2*E205)/(1-Val!$D$19^2*SIN(E205)^2)^0.5)*Val!$D$5*(E205-E204)</f>
        <v>-0.19464612679605492</v>
      </c>
    </row>
    <row r="206" spans="2:23" ht="13.5">
      <c r="B206" s="32">
        <v>201</v>
      </c>
      <c r="C206" s="32">
        <f>B206-Data!$D$10</f>
        <v>111</v>
      </c>
      <c r="D206" s="30">
        <f t="shared" si="52"/>
        <v>3.5081117965086026</v>
      </c>
      <c r="E206" s="30">
        <f t="shared" si="53"/>
        <v>1.9373154697137058</v>
      </c>
      <c r="F206" s="26">
        <f>Val!$D$11*(1-COS(D206))+Val!$D$12*(1-COS(E206))</f>
        <v>0.0016459739741433851</v>
      </c>
      <c r="G206" s="26">
        <f>Val!$D$11*((1-COS(Calc!D206))+1/Val!$D$18*(1-(1-(Val!$D$18*SIN(Calc!D206))^2)^0.5))+Val!$D$12*((1-COS(Calc!E206))+1/Val!$D$19*(1-(1-(Val!$D$19*SIN(Calc!E206))^2)^0.5))</f>
        <v>0.0017006708635287906</v>
      </c>
      <c r="H206" s="26">
        <f t="shared" si="54"/>
        <v>-5.469688938540551E-05</v>
      </c>
      <c r="I206" s="22">
        <f>Val!$D$11*(1-COS(D206))+Val!$D$14+Val!$D$13+Val!$D$12*((1-COS(Calc!E206)))+Val!$D$15</f>
        <v>0.0023459739741433848</v>
      </c>
      <c r="J206" s="22">
        <f>Val!$D$11*((1-COS(Calc!$D206))+1/Val!$D$18*(1-(1-(Val!$D$18*SIN(Calc!$D206))^2)^0.5))+Val!$D$14+Val!$D$13+Val!$D$12*((1-COS(Calc!$E206))+1/Val!$D$19*(1-(1-(Val!$D$19*SIN(Calc!$E206))^2)^0.5))+Val!$D$15</f>
        <v>0.0024006708635287903</v>
      </c>
      <c r="K206" s="44">
        <f t="shared" si="55"/>
        <v>-5.469688938540551E-05</v>
      </c>
      <c r="L206" s="50">
        <f>Val!$D$42*Val!$D$22/Val!$D$37/(1-Val!$D$39*COS(D206-Val!$D$40))</f>
        <v>65900.09385906125</v>
      </c>
      <c r="M206" s="50">
        <f>Val!$D$42*Val!$D$22/(Val!$D$11*((1-COS(Calc!D206))+1/Val!$D$18*(1-(1-(Val!$D$18*SIN(Calc!D206))^2)^0.5))/Val!$D$25+Val!$D$14/Val!$D$25+Val!$D$13/Val!$D$27+Val!$D$12*((1-COS(Calc!E206))+1/Val!$D$19*(1-(1-(Val!$D$19*SIN(Calc!E206))^2)^0.5))/Val!$D$26+Val!$D$15/Val!$D$26)</f>
        <v>63601.65084330654</v>
      </c>
      <c r="N206" s="16">
        <f t="shared" si="60"/>
        <v>0.3234817467607738</v>
      </c>
      <c r="O206" s="16">
        <f t="shared" si="61"/>
        <v>0.3115446546471748</v>
      </c>
      <c r="P206" s="16">
        <f t="shared" si="62"/>
        <v>-4.921035330659367E-06</v>
      </c>
      <c r="Q206" s="16">
        <f t="shared" si="63"/>
        <v>-4.909548981741349E-06</v>
      </c>
      <c r="R206" s="13">
        <f t="shared" si="56"/>
        <v>0.9530198714816964</v>
      </c>
      <c r="S206" s="13">
        <f t="shared" si="57"/>
        <v>0.9752397354132908</v>
      </c>
      <c r="T206" s="13">
        <f t="shared" si="58"/>
        <v>0.3888364539911208</v>
      </c>
      <c r="U206" s="13">
        <f t="shared" si="59"/>
        <v>0.37527473685824253</v>
      </c>
      <c r="W206" s="387">
        <f>1*(M206-Val!$D$28)*PI()/4*Val!$D$2^2*(SIN(D206)+Val!$D$18/2*SIN(2*D206)/(1-Val!$D$18^2*SIN(D206)^2)^0.5)*Val!$D$4*(D206-D205)+1*(M206-Val!$D$28)*PI()/4*Val!$D$3^2*(SIN(E206)+Val!$D$19/2*SIN(2*E206)/(1-Val!$D$19^2*SIN(E206)^2)^0.5)*Val!$D$5*(E206-E205)</f>
        <v>-0.18880168050238277</v>
      </c>
    </row>
    <row r="207" spans="2:23" ht="13.5">
      <c r="B207" s="32">
        <v>202</v>
      </c>
      <c r="C207" s="32">
        <f>B207-Data!$D$10</f>
        <v>112</v>
      </c>
      <c r="D207" s="30">
        <f t="shared" si="52"/>
        <v>3.5255650890285457</v>
      </c>
      <c r="E207" s="30">
        <f t="shared" si="53"/>
        <v>1.9547687622336491</v>
      </c>
      <c r="F207" s="26">
        <f>Val!$D$11*(1-COS(D207))+Val!$D$12*(1-COS(E207))</f>
        <v>0.0016508950094740445</v>
      </c>
      <c r="G207" s="26">
        <f>Val!$D$11*((1-COS(Calc!D207))+1/Val!$D$18*(1-(1-(Val!$D$18*SIN(Calc!D207))^2)^0.5))+Val!$D$12*((1-COS(Calc!E207))+1/Val!$D$19*(1-(1-(Val!$D$19*SIN(Calc!E207))^2)^0.5))</f>
        <v>0.001705580412510532</v>
      </c>
      <c r="H207" s="26">
        <f t="shared" si="54"/>
        <v>-5.4685403036487494E-05</v>
      </c>
      <c r="I207" s="22">
        <f>Val!$D$11*(1-COS(D207))+Val!$D$14+Val!$D$13+Val!$D$12*((1-COS(Calc!E207)))+Val!$D$15</f>
        <v>0.002350895009474044</v>
      </c>
      <c r="J207" s="22">
        <f>Val!$D$11*((1-COS(Calc!$D207))+1/Val!$D$18*(1-(1-(Val!$D$18*SIN(Calc!$D207))^2)^0.5))+Val!$D$14+Val!$D$13+Val!$D$12*((1-COS(Calc!$E207))+1/Val!$D$19*(1-(1-(Val!$D$19*SIN(Calc!$E207))^2)^0.5))+Val!$D$15</f>
        <v>0.002405580412510532</v>
      </c>
      <c r="K207" s="44">
        <f t="shared" si="55"/>
        <v>-5.468540303648793E-05</v>
      </c>
      <c r="L207" s="50">
        <f>Val!$D$42*Val!$D$22/Val!$D$37/(1-Val!$D$39*COS(D207-Val!$D$40))</f>
        <v>65568.88574586467</v>
      </c>
      <c r="M207" s="50">
        <f>Val!$D$42*Val!$D$22/(Val!$D$11*((1-COS(Calc!D207))+1/Val!$D$18*(1-(1-(Val!$D$18*SIN(Calc!D207))^2)^0.5))/Val!$D$25+Val!$D$14/Val!$D$25+Val!$D$13/Val!$D$27+Val!$D$12*((1-COS(Calc!E207))+1/Val!$D$19*(1-(1-(Val!$D$19*SIN(Calc!E207))^2)^0.5))/Val!$D$26+Val!$D$15/Val!$D$26)</f>
        <v>63312.106736380716</v>
      </c>
      <c r="N207" s="16">
        <f t="shared" si="60"/>
        <v>0.3089039004016807</v>
      </c>
      <c r="O207" s="16">
        <f t="shared" si="61"/>
        <v>0.29761588256734683</v>
      </c>
      <c r="P207" s="16">
        <f t="shared" si="62"/>
        <v>-4.722766365831228E-06</v>
      </c>
      <c r="Q207" s="16">
        <f t="shared" si="63"/>
        <v>-4.711252113671861E-06</v>
      </c>
      <c r="R207" s="13">
        <f t="shared" si="56"/>
        <v>0.9550189748434863</v>
      </c>
      <c r="S207" s="13">
        <f t="shared" si="57"/>
        <v>0.977234172602783</v>
      </c>
      <c r="T207" s="13">
        <f t="shared" si="58"/>
        <v>0.38688219595100515</v>
      </c>
      <c r="U207" s="13">
        <f t="shared" si="59"/>
        <v>0.3735663128300181</v>
      </c>
      <c r="W207" s="387">
        <f>1*(M207-Val!$D$28)*PI()/4*Val!$D$2^2*(SIN(D207)+Val!$D$18/2*SIN(2*D207)/(1-Val!$D$18^2*SIN(D207)^2)^0.5)*Val!$D$4*(D207-D206)+1*(M207-Val!$D$28)*PI()/4*Val!$D$3^2*(SIN(E207)+Val!$D$19/2*SIN(2*E207)/(1-Val!$D$19^2*SIN(E207)^2)^0.5)*Val!$D$5*(E207-E206)</f>
        <v>-0.18274592746427082</v>
      </c>
    </row>
    <row r="208" spans="2:23" ht="13.5">
      <c r="B208" s="32">
        <v>203</v>
      </c>
      <c r="C208" s="32">
        <f>B208-Data!$D$10</f>
        <v>113</v>
      </c>
      <c r="D208" s="30">
        <f t="shared" si="52"/>
        <v>3.543018381548489</v>
      </c>
      <c r="E208" s="30">
        <f t="shared" si="53"/>
        <v>1.9722220547535925</v>
      </c>
      <c r="F208" s="26">
        <f>Val!$D$11*(1-COS(D208))+Val!$D$12*(1-COS(E208))</f>
        <v>0.0016556177758398757</v>
      </c>
      <c r="G208" s="26">
        <f>Val!$D$11*((1-COS(Calc!D208))+1/Val!$D$18*(1-(1-(Val!$D$18*SIN(Calc!D208))^2)^0.5))+Val!$D$12*((1-COS(Calc!E208))+1/Val!$D$19*(1-(1-(Val!$D$19*SIN(Calc!E208))^2)^0.5))</f>
        <v>0.0017102916646242038</v>
      </c>
      <c r="H208" s="26">
        <f t="shared" si="54"/>
        <v>-5.467388878432813E-05</v>
      </c>
      <c r="I208" s="22">
        <f>Val!$D$11*(1-COS(D208))+Val!$D$14+Val!$D$13+Val!$D$12*((1-COS(Calc!E208)))+Val!$D$15</f>
        <v>0.0023556177758398754</v>
      </c>
      <c r="J208" s="22">
        <f>Val!$D$11*((1-COS(Calc!$D208))+1/Val!$D$18*(1-(1-(Val!$D$18*SIN(Calc!$D208))^2)^0.5))+Val!$D$14+Val!$D$13+Val!$D$12*((1-COS(Calc!$E208))+1/Val!$D$19*(1-(1-(Val!$D$19*SIN(Calc!$E208))^2)^0.5))+Val!$D$15</f>
        <v>0.0024102916646242035</v>
      </c>
      <c r="K208" s="44">
        <f t="shared" si="55"/>
        <v>-5.467388878432813E-05</v>
      </c>
      <c r="L208" s="50">
        <f>Val!$D$42*Val!$D$22/Val!$D$37/(1-Val!$D$39*COS(D208-Val!$D$40))</f>
        <v>65245.92763832359</v>
      </c>
      <c r="M208" s="50">
        <f>Val!$D$42*Val!$D$22/(Val!$D$11*((1-COS(Calc!D208))+1/Val!$D$18*(1-(1-(Val!$D$18*SIN(Calc!D208))^2)^0.5))/Val!$D$25+Val!$D$14/Val!$D$25+Val!$D$13/Val!$D$27+Val!$D$12*((1-COS(Calc!E208))+1/Val!$D$19*(1-(1-(Val!$D$19*SIN(Calc!E208))^2)^0.5))/Val!$D$26+Val!$D$15/Val!$D$26)</f>
        <v>63030.477097624425</v>
      </c>
      <c r="N208" s="16">
        <f t="shared" si="60"/>
        <v>0.2943992254506659</v>
      </c>
      <c r="O208" s="16">
        <f t="shared" si="61"/>
        <v>0.2837488912025894</v>
      </c>
      <c r="P208" s="16">
        <f t="shared" si="62"/>
        <v>-4.52305880061692E-06</v>
      </c>
      <c r="Q208" s="16">
        <f t="shared" si="63"/>
        <v>-4.511572741491181E-06</v>
      </c>
      <c r="R208" s="13">
        <f t="shared" si="56"/>
        <v>0.9569375341474727</v>
      </c>
      <c r="S208" s="13">
        <f t="shared" si="57"/>
        <v>0.9791480543991609</v>
      </c>
      <c r="T208" s="13">
        <f t="shared" si="58"/>
        <v>0.3849766161866952</v>
      </c>
      <c r="U208" s="13">
        <f t="shared" si="59"/>
        <v>0.37190458727455844</v>
      </c>
      <c r="W208" s="387">
        <f>1*(M208-Val!$D$28)*PI()/4*Val!$D$2^2*(SIN(D208)+Val!$D$18/2*SIN(2*D208)/(1-Val!$D$18^2*SIN(D208)^2)^0.5)*Val!$D$4*(D208-D207)+1*(M208-Val!$D$28)*PI()/4*Val!$D$3^2*(SIN(E208)+Val!$D$19/2*SIN(2*E208)/(1-Val!$D$19^2*SIN(E208)^2)^0.5)*Val!$D$5*(E208-E207)</f>
        <v>-0.17648517811151312</v>
      </c>
    </row>
    <row r="209" spans="2:23" ht="13.5">
      <c r="B209" s="32">
        <v>204</v>
      </c>
      <c r="C209" s="32">
        <f>B209-Data!$D$10</f>
        <v>114</v>
      </c>
      <c r="D209" s="30">
        <f t="shared" si="52"/>
        <v>3.5604716740684323</v>
      </c>
      <c r="E209" s="30">
        <f t="shared" si="53"/>
        <v>1.9896753472735358</v>
      </c>
      <c r="F209" s="26">
        <f>Val!$D$11*(1-COS(D209))+Val!$D$12*(1-COS(E209))</f>
        <v>0.0016601408346404926</v>
      </c>
      <c r="G209" s="26">
        <f>Val!$D$11*((1-COS(Calc!D209))+1/Val!$D$18*(1-(1-(Val!$D$18*SIN(Calc!D209))^2)^0.5))+Val!$D$12*((1-COS(Calc!E209))+1/Val!$D$19*(1-(1-(Val!$D$19*SIN(Calc!E209))^2)^0.5))</f>
        <v>0.001714803237365695</v>
      </c>
      <c r="H209" s="26">
        <f t="shared" si="54"/>
        <v>-5.466240272520239E-05</v>
      </c>
      <c r="I209" s="22">
        <f>Val!$D$11*(1-COS(D209))+Val!$D$14+Val!$D$13+Val!$D$12*((1-COS(Calc!E209)))+Val!$D$15</f>
        <v>0.0023601408346404923</v>
      </c>
      <c r="J209" s="22">
        <f>Val!$D$11*((1-COS(Calc!$D209))+1/Val!$D$18*(1-(1-(Val!$D$18*SIN(Calc!$D209))^2)^0.5))+Val!$D$14+Val!$D$13+Val!$D$12*((1-COS(Calc!$E209))+1/Val!$D$19*(1-(1-(Val!$D$19*SIN(Calc!$E209))^2)^0.5))+Val!$D$15</f>
        <v>0.002414803237365695</v>
      </c>
      <c r="K209" s="44">
        <f t="shared" si="55"/>
        <v>-5.4662402725202605E-05</v>
      </c>
      <c r="L209" s="50">
        <f>Val!$D$42*Val!$D$22/Val!$D$37/(1-Val!$D$39*COS(D209-Val!$D$40))</f>
        <v>64931.12219817708</v>
      </c>
      <c r="M209" s="50">
        <f>Val!$D$42*Val!$D$22/(Val!$D$11*((1-COS(Calc!D209))+1/Val!$D$18*(1-(1-(Val!$D$18*SIN(Calc!D209))^2)^0.5))/Val!$D$25+Val!$D$14/Val!$D$25+Val!$D$13/Val!$D$27+Val!$D$12*((1-COS(Calc!E209))+1/Val!$D$19*(1-(1-(Val!$D$19*SIN(Calc!E209))^2)^0.5))/Val!$D$26+Val!$D$15/Val!$D$26)</f>
        <v>62756.65189756942</v>
      </c>
      <c r="N209" s="16">
        <f t="shared" si="60"/>
        <v>0.2799677092640762</v>
      </c>
      <c r="O209" s="16">
        <f t="shared" si="61"/>
        <v>0.26994345630204886</v>
      </c>
      <c r="P209" s="16">
        <f t="shared" si="62"/>
        <v>-4.321973467876893E-06</v>
      </c>
      <c r="Q209" s="16">
        <f t="shared" si="63"/>
        <v>-4.310571558590812E-06</v>
      </c>
      <c r="R209" s="13">
        <f t="shared" si="56"/>
        <v>0.9587749649819056</v>
      </c>
      <c r="S209" s="13">
        <f t="shared" si="57"/>
        <v>0.9809808191790201</v>
      </c>
      <c r="T209" s="13">
        <f t="shared" si="58"/>
        <v>0.38311914036419525</v>
      </c>
      <c r="U209" s="13">
        <f t="shared" si="59"/>
        <v>0.37028891097475664</v>
      </c>
      <c r="W209" s="387">
        <f>1*(M209-Val!$D$28)*PI()/4*Val!$D$2^2*(SIN(D209)+Val!$D$18/2*SIN(2*D209)/(1-Val!$D$18^2*SIN(D209)^2)^0.5)*Val!$D$4*(D209-D208)+1*(M209-Val!$D$28)*PI()/4*Val!$D$3^2*(SIN(E209)+Val!$D$19/2*SIN(2*E209)/(1-Val!$D$19^2*SIN(E209)^2)^0.5)*Val!$D$5*(E209-E208)</f>
        <v>-0.1700257853140418</v>
      </c>
    </row>
    <row r="210" spans="2:23" ht="13.5">
      <c r="B210" s="32">
        <v>205</v>
      </c>
      <c r="C210" s="32">
        <f>B210-Data!$D$10</f>
        <v>115</v>
      </c>
      <c r="D210" s="30">
        <f t="shared" si="52"/>
        <v>3.5779249665883754</v>
      </c>
      <c r="E210" s="30">
        <f t="shared" si="53"/>
        <v>2.007128639793479</v>
      </c>
      <c r="F210" s="26">
        <f>Val!$D$11*(1-COS(D210))+Val!$D$12*(1-COS(E210))</f>
        <v>0.0016644628081083695</v>
      </c>
      <c r="G210" s="26">
        <f>Val!$D$11*((1-COS(Calc!D210))+1/Val!$D$18*(1-(1-(Val!$D$18*SIN(Calc!D210))^2)^0.5))+Val!$D$12*((1-COS(Calc!E210))+1/Val!$D$19*(1-(1-(Val!$D$19*SIN(Calc!E210))^2)^0.5))</f>
        <v>0.0017191138089242858</v>
      </c>
      <c r="H210" s="26">
        <f t="shared" si="54"/>
        <v>-5.465100081591631E-05</v>
      </c>
      <c r="I210" s="22">
        <f>Val!$D$11*(1-COS(D210))+Val!$D$14+Val!$D$13+Val!$D$12*((1-COS(Calc!E210)))+Val!$D$15</f>
        <v>0.002364462808108369</v>
      </c>
      <c r="J210" s="22">
        <f>Val!$D$11*((1-COS(Calc!$D210))+1/Val!$D$18*(1-(1-(Val!$D$18*SIN(Calc!$D210))^2)^0.5))+Val!$D$14+Val!$D$13+Val!$D$12*((1-COS(Calc!$E210))+1/Val!$D$19*(1-(1-(Val!$D$19*SIN(Calc!$E210))^2)^0.5))+Val!$D$15</f>
        <v>0.0024191138089242853</v>
      </c>
      <c r="K210" s="44">
        <f t="shared" si="55"/>
        <v>-5.465100081591609E-05</v>
      </c>
      <c r="L210" s="50">
        <f>Val!$D$42*Val!$D$22/Val!$D$37/(1-Val!$D$39*COS(D210-Val!$D$40))</f>
        <v>64624.37431050755</v>
      </c>
      <c r="M210" s="50">
        <f>Val!$D$42*Val!$D$22/(Val!$D$11*((1-COS(Calc!D210))+1/Val!$D$18*(1-(1-(Val!$D$18*SIN(Calc!D210))^2)^0.5))/Val!$D$25+Val!$D$14/Val!$D$25+Val!$D$13/Val!$D$27+Val!$D$12*((1-COS(Calc!E210))+1/Val!$D$19*(1-(1-(Val!$D$19*SIN(Calc!E210))^2)^0.5))/Val!$D$26+Val!$D$15/Val!$D$26)</f>
        <v>62490.52362563402</v>
      </c>
      <c r="N210" s="16">
        <f t="shared" si="60"/>
        <v>0.2656093089283269</v>
      </c>
      <c r="O210" s="16">
        <f t="shared" si="61"/>
        <v>0.25619933231498476</v>
      </c>
      <c r="P210" s="16">
        <f t="shared" si="62"/>
        <v>-4.11957162015043E-06</v>
      </c>
      <c r="Q210" s="16">
        <f t="shared" si="63"/>
        <v>-4.10830940546854E-06</v>
      </c>
      <c r="R210" s="13">
        <f t="shared" si="56"/>
        <v>0.9605307076475535</v>
      </c>
      <c r="S210" s="13">
        <f t="shared" si="57"/>
        <v>0.9827319299748167</v>
      </c>
      <c r="T210" s="13">
        <f t="shared" si="58"/>
        <v>0.38130920726810924</v>
      </c>
      <c r="U210" s="13">
        <f t="shared" si="59"/>
        <v>0.3687186495759268</v>
      </c>
      <c r="W210" s="387">
        <f>1*(M210-Val!$D$28)*PI()/4*Val!$D$2^2*(SIN(D210)+Val!$D$18/2*SIN(2*D210)/(1-Val!$D$18^2*SIN(D210)^2)^0.5)*Val!$D$4*(D210-D209)+1*(M210-Val!$D$28)*PI()/4*Val!$D$3^2*(SIN(E210)+Val!$D$19/2*SIN(2*E210)/(1-Val!$D$19^2*SIN(E210)^2)^0.5)*Val!$D$5*(E210-E209)</f>
        <v>-0.16337414017311988</v>
      </c>
    </row>
    <row r="211" spans="2:23" ht="13.5">
      <c r="B211" s="32">
        <v>206</v>
      </c>
      <c r="C211" s="32">
        <f>B211-Data!$D$10</f>
        <v>116</v>
      </c>
      <c r="D211" s="30">
        <f t="shared" si="52"/>
        <v>3.595378259108319</v>
      </c>
      <c r="E211" s="30">
        <f t="shared" si="53"/>
        <v>2.0245819323134224</v>
      </c>
      <c r="F211" s="26">
        <f>Val!$D$11*(1-COS(D211))+Val!$D$12*(1-COS(E211))</f>
        <v>0.00166858237972852</v>
      </c>
      <c r="G211" s="26">
        <f>Val!$D$11*((1-COS(Calc!D211))+1/Val!$D$18*(1-(1-(Val!$D$18*SIN(Calc!D211))^2)^0.5))+Val!$D$12*((1-COS(Calc!E211))+1/Val!$D$19*(1-(1-(Val!$D$19*SIN(Calc!E211))^2)^0.5))</f>
        <v>0.0017232221183297544</v>
      </c>
      <c r="H211" s="26">
        <f t="shared" si="54"/>
        <v>-5.463973860123442E-05</v>
      </c>
      <c r="I211" s="22">
        <f>Val!$D$11*(1-COS(D211))+Val!$D$14+Val!$D$13+Val!$D$12*((1-COS(Calc!E211)))+Val!$D$15</f>
        <v>0.0023685823797285196</v>
      </c>
      <c r="J211" s="22">
        <f>Val!$D$11*((1-COS(Calc!$D211))+1/Val!$D$18*(1-(1-(Val!$D$18*SIN(Calc!$D211))^2)^0.5))+Val!$D$14+Val!$D$13+Val!$D$12*((1-COS(Calc!$E211))+1/Val!$D$19*(1-(1-(Val!$D$19*SIN(Calc!$E211))^2)^0.5))+Val!$D$15</f>
        <v>0.002423222118329754</v>
      </c>
      <c r="K211" s="44">
        <f t="shared" si="55"/>
        <v>-5.463973860123442E-05</v>
      </c>
      <c r="L211" s="50">
        <f>Val!$D$42*Val!$D$22/Val!$D$37/(1-Val!$D$39*COS(D211-Val!$D$40))</f>
        <v>64325.59108352918</v>
      </c>
      <c r="M211" s="50">
        <f>Val!$D$42*Val!$D$22/(Val!$D$11*((1-COS(Calc!D211))+1/Val!$D$18*(1-(1-(Val!$D$18*SIN(Calc!D211))^2)^0.5))/Val!$D$25+Val!$D$14/Val!$D$25+Val!$D$13/Val!$D$27+Val!$D$12*((1-COS(Calc!E211))+1/Val!$D$19*(1-(1-(Val!$D$19*SIN(Calc!E211))^2)^0.5))/Val!$D$26+Val!$D$15/Val!$D$26)</f>
        <v>62231.98728065081</v>
      </c>
      <c r="N211" s="16">
        <f t="shared" si="60"/>
        <v>0.25132395337382657</v>
      </c>
      <c r="O211" s="16">
        <f t="shared" si="61"/>
        <v>0.24251625464918755</v>
      </c>
      <c r="P211" s="16">
        <f t="shared" si="62"/>
        <v>-3.915914911001078E-06</v>
      </c>
      <c r="Q211" s="16">
        <f t="shared" si="63"/>
        <v>-3.904847253118245E-06</v>
      </c>
      <c r="R211" s="13">
        <f t="shared" si="56"/>
        <v>0.9622042273281924</v>
      </c>
      <c r="S211" s="13">
        <f t="shared" si="57"/>
        <v>0.9844008745346287</v>
      </c>
      <c r="T211" s="13">
        <f t="shared" si="58"/>
        <v>0.3795462688003924</v>
      </c>
      <c r="U211" s="13">
        <f t="shared" si="59"/>
        <v>0.36719318352991337</v>
      </c>
      <c r="W211" s="387">
        <f>1*(M211-Val!$D$28)*PI()/4*Val!$D$2^2*(SIN(D211)+Val!$D$18/2*SIN(2*D211)/(1-Val!$D$18^2*SIN(D211)^2)^0.5)*Val!$D$4*(D211-D210)+1*(M211-Val!$D$28)*PI()/4*Val!$D$3^2*(SIN(E211)+Val!$D$19/2*SIN(2*E211)/(1-Val!$D$19^2*SIN(E211)^2)^0.5)*Val!$D$5*(E211-E210)</f>
        <v>-0.15653666799173235</v>
      </c>
    </row>
    <row r="212" spans="2:23" ht="13.5">
      <c r="B212" s="32">
        <v>207</v>
      </c>
      <c r="C212" s="32">
        <f>B212-Data!$D$10</f>
        <v>117</v>
      </c>
      <c r="D212" s="30">
        <f t="shared" si="52"/>
        <v>3.612831551628262</v>
      </c>
      <c r="E212" s="30">
        <f t="shared" si="53"/>
        <v>2.0420352248333655</v>
      </c>
      <c r="F212" s="26">
        <f>Val!$D$11*(1-COS(D212))+Val!$D$12*(1-COS(E212))</f>
        <v>0.001672498294639521</v>
      </c>
      <c r="G212" s="26">
        <f>Val!$D$11*((1-COS(Calc!D212))+1/Val!$D$18*(1-(1-(Val!$D$18*SIN(Calc!D212))^2)^0.5))+Val!$D$12*((1-COS(Calc!E212))+1/Val!$D$19*(1-(1-(Val!$D$19*SIN(Calc!E212))^2)^0.5))</f>
        <v>0.0017271269655828726</v>
      </c>
      <c r="H212" s="26">
        <f t="shared" si="54"/>
        <v>-5.462867094335158E-05</v>
      </c>
      <c r="I212" s="22">
        <f>Val!$D$11*(1-COS(D212))+Val!$D$14+Val!$D$13+Val!$D$12*((1-COS(Calc!E212)))+Val!$D$15</f>
        <v>0.002372498294639521</v>
      </c>
      <c r="J212" s="22">
        <f>Val!$D$11*((1-COS(Calc!$D212))+1/Val!$D$18*(1-(1-(Val!$D$18*SIN(Calc!$D212))^2)^0.5))+Val!$D$14+Val!$D$13+Val!$D$12*((1-COS(Calc!$E212))+1/Val!$D$19*(1-(1-(Val!$D$19*SIN(Calc!$E212))^2)^0.5))+Val!$D$15</f>
        <v>0.0024271269655828723</v>
      </c>
      <c r="K212" s="44">
        <f t="shared" si="55"/>
        <v>-5.4628670943351366E-05</v>
      </c>
      <c r="L212" s="50">
        <f>Val!$D$42*Val!$D$22/Val!$D$37/(1-Val!$D$39*COS(D212-Val!$D$40))</f>
        <v>64034.68184669307</v>
      </c>
      <c r="M212" s="50">
        <f>Val!$D$42*Val!$D$22/(Val!$D$11*((1-COS(Calc!D212))+1/Val!$D$18*(1-(1-(Val!$D$18*SIN(Calc!D212))^2)^0.5))/Val!$D$25+Val!$D$14/Val!$D$25+Val!$D$13/Val!$D$27+Val!$D$12*((1-COS(Calc!E212))+1/Val!$D$19*(1-(1-(Val!$D$19*SIN(Calc!E212))^2)^0.5))/Val!$D$26+Val!$D$15/Val!$D$26)</f>
        <v>61980.94035974507</v>
      </c>
      <c r="N212" s="16">
        <f t="shared" si="60"/>
        <v>0.2371115454004662</v>
      </c>
      <c r="O212" s="16">
        <f t="shared" si="61"/>
        <v>0.2288939418773125</v>
      </c>
      <c r="P212" s="16">
        <f t="shared" si="62"/>
        <v>-3.711065376235884E-06</v>
      </c>
      <c r="Q212" s="16">
        <f t="shared" si="63"/>
        <v>-3.7002461876155766E-06</v>
      </c>
      <c r="R212" s="13">
        <f t="shared" si="56"/>
        <v>0.9637950142535155</v>
      </c>
      <c r="S212" s="13">
        <f t="shared" si="57"/>
        <v>0.9859871653751658</v>
      </c>
      <c r="T212" s="13">
        <f t="shared" si="58"/>
        <v>0.37782978996917044</v>
      </c>
      <c r="U212" s="13">
        <f t="shared" si="59"/>
        <v>0.36571190802946957</v>
      </c>
      <c r="W212" s="387">
        <f>1*(M212-Val!$D$28)*PI()/4*Val!$D$2^2*(SIN(D212)+Val!$D$18/2*SIN(2*D212)/(1-Val!$D$18^2*SIN(D212)^2)^0.5)*Val!$D$4*(D212-D211)+1*(M212-Val!$D$28)*PI()/4*Val!$D$3^2*(SIN(E212)+Val!$D$19/2*SIN(2*E212)/(1-Val!$D$19^2*SIN(E212)^2)^0.5)*Val!$D$5*(E212-E211)</f>
        <v>-0.1495198244209266</v>
      </c>
    </row>
    <row r="213" spans="2:23" ht="13.5">
      <c r="B213" s="32">
        <v>208</v>
      </c>
      <c r="C213" s="32">
        <f>B213-Data!$D$10</f>
        <v>118</v>
      </c>
      <c r="D213" s="30">
        <f t="shared" si="52"/>
        <v>3.6302848441482056</v>
      </c>
      <c r="E213" s="30">
        <f t="shared" si="53"/>
        <v>2.059488517353309</v>
      </c>
      <c r="F213" s="26">
        <f>Val!$D$11*(1-COS(D213))+Val!$D$12*(1-COS(E213))</f>
        <v>0.001676209360015757</v>
      </c>
      <c r="G213" s="26">
        <f>Val!$D$11*((1-COS(Calc!D213))+1/Val!$D$18*(1-(1-(Val!$D$18*SIN(Calc!D213))^2)^0.5))+Val!$D$12*((1-COS(Calc!E213))+1/Val!$D$19*(1-(1-(Val!$D$19*SIN(Calc!E213))^2)^0.5))</f>
        <v>0.0017308272117704882</v>
      </c>
      <c r="H213" s="26">
        <f t="shared" si="54"/>
        <v>-5.4617851754731276E-05</v>
      </c>
      <c r="I213" s="22">
        <f>Val!$D$11*(1-COS(D213))+Val!$D$14+Val!$D$13+Val!$D$12*((1-COS(Calc!E213)))+Val!$D$15</f>
        <v>0.0023762093600157566</v>
      </c>
      <c r="J213" s="22">
        <f>Val!$D$11*((1-COS(Calc!$D213))+1/Val!$D$18*(1-(1-(Val!$D$18*SIN(Calc!$D213))^2)^0.5))+Val!$D$14+Val!$D$13+Val!$D$12*((1-COS(Calc!$E213))+1/Val!$D$19*(1-(1-(Val!$D$19*SIN(Calc!$E213))^2)^0.5))+Val!$D$15</f>
        <v>0.002430827211770488</v>
      </c>
      <c r="K213" s="44">
        <f t="shared" si="55"/>
        <v>-5.4617851754731276E-05</v>
      </c>
      <c r="L213" s="50">
        <f>Val!$D$42*Val!$D$22/Val!$D$37/(1-Val!$D$39*COS(D213-Val!$D$40))</f>
        <v>63751.558147268544</v>
      </c>
      <c r="M213" s="50">
        <f>Val!$D$42*Val!$D$22/(Val!$D$11*((1-COS(Calc!D213))+1/Val!$D$18*(1-(1-(Val!$D$18*SIN(Calc!D213))^2)^0.5))/Val!$D$25+Val!$D$14/Val!$D$25+Val!$D$13/Val!$D$27+Val!$D$12*((1-COS(Calc!E213))+1/Val!$D$19*(1-(1-(Val!$D$19*SIN(Calc!E213))^2)^0.5))/Val!$D$26+Val!$D$15/Val!$D$26)</f>
        <v>61737.28284572807</v>
      </c>
      <c r="N213" s="16">
        <f t="shared" si="60"/>
        <v>0.2229719636192403</v>
      </c>
      <c r="O213" s="16">
        <f t="shared" si="61"/>
        <v>0.21533209789144206</v>
      </c>
      <c r="P213" s="16">
        <f t="shared" si="62"/>
        <v>-3.505085415006666E-06</v>
      </c>
      <c r="Q213" s="16">
        <f t="shared" si="63"/>
        <v>-3.494567395880433E-06</v>
      </c>
      <c r="R213" s="13">
        <f t="shared" si="56"/>
        <v>0.9653025838544153</v>
      </c>
      <c r="S213" s="13">
        <f t="shared" si="57"/>
        <v>0.9874903398285226</v>
      </c>
      <c r="T213" s="13">
        <f t="shared" si="58"/>
        <v>0.3761592488685686</v>
      </c>
      <c r="U213" s="13">
        <f t="shared" si="59"/>
        <v>0.3642742329338728</v>
      </c>
      <c r="W213" s="387">
        <f>1*(M213-Val!$D$28)*PI()/4*Val!$D$2^2*(SIN(D213)+Val!$D$18/2*SIN(2*D213)/(1-Val!$D$18^2*SIN(D213)^2)^0.5)*Val!$D$4*(D213-D212)+1*(M213-Val!$D$28)*PI()/4*Val!$D$3^2*(SIN(E213)+Val!$D$19/2*SIN(2*E213)/(1-Val!$D$19^2*SIN(E213)^2)^0.5)*Val!$D$5*(E213-E212)</f>
        <v>-0.14233009177856684</v>
      </c>
    </row>
    <row r="214" spans="2:23" ht="13.5">
      <c r="B214" s="32">
        <v>209</v>
      </c>
      <c r="C214" s="32">
        <f>B214-Data!$D$10</f>
        <v>119</v>
      </c>
      <c r="D214" s="30">
        <f t="shared" si="52"/>
        <v>3.6477381366681487</v>
      </c>
      <c r="E214" s="30">
        <f t="shared" si="53"/>
        <v>2.076941809873252</v>
      </c>
      <c r="F214" s="26">
        <f>Val!$D$11*(1-COS(D214))+Val!$D$12*(1-COS(E214))</f>
        <v>0.0016797144454307636</v>
      </c>
      <c r="G214" s="26">
        <f>Val!$D$11*((1-COS(Calc!D214))+1/Val!$D$18*(1-(1-(Val!$D$18*SIN(Calc!D214))^2)^0.5))+Val!$D$12*((1-COS(Calc!E214))+1/Val!$D$19*(1-(1-(Val!$D$19*SIN(Calc!E214))^2)^0.5))</f>
        <v>0.0017343217791663686</v>
      </c>
      <c r="H214" s="26">
        <f t="shared" si="54"/>
        <v>-5.460733373560504E-05</v>
      </c>
      <c r="I214" s="22">
        <f>Val!$D$11*(1-COS(D214))+Val!$D$14+Val!$D$13+Val!$D$12*((1-COS(Calc!E214)))+Val!$D$15</f>
        <v>0.0023797144454307632</v>
      </c>
      <c r="J214" s="22">
        <f>Val!$D$11*((1-COS(Calc!$D214))+1/Val!$D$18*(1-(1-(Val!$D$18*SIN(Calc!$D214))^2)^0.5))+Val!$D$14+Val!$D$13+Val!$D$12*((1-COS(Calc!$E214))+1/Val!$D$19*(1-(1-(Val!$D$19*SIN(Calc!$E214))^2)^0.5))+Val!$D$15</f>
        <v>0.0024343217791663683</v>
      </c>
      <c r="K214" s="44">
        <f t="shared" si="55"/>
        <v>-5.460733373560504E-05</v>
      </c>
      <c r="L214" s="50">
        <f>Val!$D$42*Val!$D$22/Val!$D$37/(1-Val!$D$39*COS(D214-Val!$D$40))</f>
        <v>63476.133745550134</v>
      </c>
      <c r="M214" s="50">
        <f>Val!$D$42*Val!$D$22/(Val!$D$11*((1-COS(Calc!D214))+1/Val!$D$18*(1-(1-(Val!$D$18*SIN(Calc!D214))^2)^0.5))/Val!$D$25+Val!$D$14/Val!$D$25+Val!$D$13/Val!$D$27+Val!$D$12*((1-COS(Calc!E214))+1/Val!$D$19*(1-(1-(Val!$D$19*SIN(Calc!E214))^2)^0.5))/Val!$D$26+Val!$D$15/Val!$D$26)</f>
        <v>61500.917193158624</v>
      </c>
      <c r="N214" s="16">
        <f t="shared" si="60"/>
        <v>0.2089050643134033</v>
      </c>
      <c r="O214" s="16">
        <f t="shared" si="61"/>
        <v>0.2018304140103448</v>
      </c>
      <c r="P214" s="16">
        <f t="shared" si="62"/>
        <v>-3.2980377708056834E-06</v>
      </c>
      <c r="Q214" s="16">
        <f t="shared" si="63"/>
        <v>-3.2878721526147063E-06</v>
      </c>
      <c r="R214" s="13">
        <f t="shared" si="56"/>
        <v>0.9667264769105868</v>
      </c>
      <c r="S214" s="13">
        <f t="shared" si="57"/>
        <v>0.9889099600831429</v>
      </c>
      <c r="T214" s="13">
        <f t="shared" si="58"/>
        <v>0.37453413665043045</v>
      </c>
      <c r="U214" s="13">
        <f t="shared" si="59"/>
        <v>0.3628795826866825</v>
      </c>
      <c r="W214" s="387">
        <f>1*(M214-Val!$D$28)*PI()/4*Val!$D$2^2*(SIN(D214)+Val!$D$18/2*SIN(2*D214)/(1-Val!$D$18^2*SIN(D214)^2)^0.5)*Val!$D$4*(D214-D213)+1*(M214-Val!$D$28)*PI()/4*Val!$D$3^2*(SIN(E214)+Val!$D$19/2*SIN(2*E214)/(1-Val!$D$19^2*SIN(E214)^2)^0.5)*Val!$D$5*(E214-E213)</f>
        <v>-0.134973975536417</v>
      </c>
    </row>
    <row r="215" spans="2:23" ht="13.5">
      <c r="B215" s="32">
        <v>210</v>
      </c>
      <c r="C215" s="32">
        <f>B215-Data!$D$10</f>
        <v>120</v>
      </c>
      <c r="D215" s="30">
        <f t="shared" si="52"/>
        <v>3.6651914291880923</v>
      </c>
      <c r="E215" s="30">
        <f t="shared" si="53"/>
        <v>2.0943951023931953</v>
      </c>
      <c r="F215" s="26">
        <f>Val!$D$11*(1-COS(D215))+Val!$D$12*(1-COS(E215))</f>
        <v>0.0016830124832015693</v>
      </c>
      <c r="G215" s="26">
        <f>Val!$D$11*((1-COS(Calc!D215))+1/Val!$D$18*(1-(1-(Val!$D$18*SIN(Calc!D215))^2)^0.5))+Val!$D$12*((1-COS(Calc!E215))+1/Val!$D$19*(1-(1-(Val!$D$19*SIN(Calc!E215))^2)^0.5))</f>
        <v>0.0017376096513189833</v>
      </c>
      <c r="H215" s="26">
        <f t="shared" si="54"/>
        <v>-5.4597168117414066E-05</v>
      </c>
      <c r="I215" s="22">
        <f>Val!$D$11*(1-COS(D215))+Val!$D$14+Val!$D$13+Val!$D$12*((1-COS(Calc!E215)))+Val!$D$15</f>
        <v>0.002383012483201569</v>
      </c>
      <c r="J215" s="22">
        <f>Val!$D$11*((1-COS(Calc!$D215))+1/Val!$D$18*(1-(1-(Val!$D$18*SIN(Calc!$D215))^2)^0.5))+Val!$D$14+Val!$D$13+Val!$D$12*((1-COS(Calc!$E215))+1/Val!$D$19*(1-(1-(Val!$D$19*SIN(Calc!$E215))^2)^0.5))+Val!$D$15</f>
        <v>0.002437609651318983</v>
      </c>
      <c r="K215" s="44">
        <f t="shared" si="55"/>
        <v>-5.4597168117414066E-05</v>
      </c>
      <c r="L215" s="50">
        <f>Val!$D$42*Val!$D$22/Val!$D$37/(1-Val!$D$39*COS(D215-Val!$D$40))</f>
        <v>63208.32460883039</v>
      </c>
      <c r="M215" s="50">
        <f>Val!$D$42*Val!$D$22/(Val!$D$11*((1-COS(Calc!D215))+1/Val!$D$18*(1-(1-(Val!$D$18*SIN(Calc!D215))^2)^0.5))/Val!$D$25+Val!$D$14/Val!$D$25+Val!$D$13/Val!$D$27+Val!$D$12*((1-COS(Calc!E215))+1/Val!$D$19*(1-(1-(Val!$D$19*SIN(Calc!E215))^2)^0.5))/Val!$D$26+Val!$D$15/Val!$D$26)</f>
        <v>61271.7483132161</v>
      </c>
      <c r="N215" s="16">
        <f t="shared" si="60"/>
        <v>0.19491068322313537</v>
      </c>
      <c r="O215" s="16">
        <f t="shared" si="61"/>
        <v>0.18838857103960033</v>
      </c>
      <c r="P215" s="16">
        <f t="shared" si="62"/>
        <v>-3.0899855123513696E-06</v>
      </c>
      <c r="Q215" s="16">
        <f t="shared" si="63"/>
        <v>-3.0802218083693378E-06</v>
      </c>
      <c r="R215" s="13">
        <f t="shared" si="56"/>
        <v>0.9680662596904118</v>
      </c>
      <c r="S215" s="13">
        <f t="shared" si="57"/>
        <v>0.9902456132194815</v>
      </c>
      <c r="T215" s="13">
        <f t="shared" si="58"/>
        <v>0.37295395748875526</v>
      </c>
      <c r="U215" s="13">
        <f t="shared" si="59"/>
        <v>0.361527396226485</v>
      </c>
      <c r="W215" s="387">
        <f>1*(M215-Val!$D$28)*PI()/4*Val!$D$2^2*(SIN(D215)+Val!$D$18/2*SIN(2*D215)/(1-Val!$D$18^2*SIN(D215)^2)^0.5)*Val!$D$4*(D215-D214)+1*(M215-Val!$D$28)*PI()/4*Val!$D$3^2*(SIN(E215)+Val!$D$19/2*SIN(2*E215)/(1-Val!$D$19^2*SIN(E215)^2)^0.5)*Val!$D$5*(E215-E214)</f>
        <v>-0.12745800097148832</v>
      </c>
    </row>
    <row r="216" spans="2:23" ht="13.5">
      <c r="B216" s="32">
        <v>211</v>
      </c>
      <c r="C216" s="32">
        <f>B216-Data!$D$10</f>
        <v>121</v>
      </c>
      <c r="D216" s="30">
        <f t="shared" si="52"/>
        <v>3.6826447217080354</v>
      </c>
      <c r="E216" s="30">
        <f t="shared" si="53"/>
        <v>2.111848394913139</v>
      </c>
      <c r="F216" s="26">
        <f>Val!$D$11*(1-COS(D216))+Val!$D$12*(1-COS(E216))</f>
        <v>0.0016861024687139206</v>
      </c>
      <c r="G216" s="26">
        <f>Val!$D$11*((1-COS(Calc!D216))+1/Val!$D$18*(1-(1-(Val!$D$18*SIN(Calc!D216))^2)^0.5))+Val!$D$12*((1-COS(Calc!E216))+1/Val!$D$19*(1-(1-(Val!$D$19*SIN(Calc!E216))^2)^0.5))</f>
        <v>0.0017406898731273527</v>
      </c>
      <c r="H216" s="26">
        <f t="shared" si="54"/>
        <v>-5.4587404413432034E-05</v>
      </c>
      <c r="I216" s="22">
        <f>Val!$D$11*(1-COS(D216))+Val!$D$14+Val!$D$13+Val!$D$12*((1-COS(Calc!E216)))+Val!$D$15</f>
        <v>0.0023861024687139203</v>
      </c>
      <c r="J216" s="22">
        <f>Val!$D$11*((1-COS(Calc!$D216))+1/Val!$D$18*(1-(1-(Val!$D$18*SIN(Calc!$D216))^2)^0.5))+Val!$D$14+Val!$D$13+Val!$D$12*((1-COS(Calc!$E216))+1/Val!$D$19*(1-(1-(Val!$D$19*SIN(Calc!$E216))^2)^0.5))+Val!$D$15</f>
        <v>0.0024406898731273523</v>
      </c>
      <c r="K216" s="44">
        <f t="shared" si="55"/>
        <v>-5.4587404413432034E-05</v>
      </c>
      <c r="L216" s="50">
        <f>Val!$D$42*Val!$D$22/Val!$D$37/(1-Val!$D$39*COS(D216-Val!$D$40))</f>
        <v>62948.0489042708</v>
      </c>
      <c r="M216" s="50">
        <f>Val!$D$42*Val!$D$22/(Val!$D$11*((1-COS(Calc!D216))+1/Val!$D$18*(1-(1-(Val!$D$18*SIN(Calc!D216))^2)^0.5))/Val!$D$25+Val!$D$14/Val!$D$25+Val!$D$13/Val!$D$27+Val!$D$12*((1-COS(Calc!E216))+1/Val!$D$19*(1-(1-(Val!$D$19*SIN(Calc!E216))^2)^0.5))/Val!$D$26+Val!$D$15/Val!$D$26)</f>
        <v>61049.68355751842</v>
      </c>
      <c r="N216" s="16">
        <f t="shared" si="60"/>
        <v>0.18098863725687747</v>
      </c>
      <c r="O216" s="16">
        <f t="shared" si="61"/>
        <v>0.1750062412878984</v>
      </c>
      <c r="P216" s="16">
        <f t="shared" si="62"/>
        <v>-2.880992014376053E-06</v>
      </c>
      <c r="Q216" s="16">
        <f t="shared" si="63"/>
        <v>-2.8716777787339554E-06</v>
      </c>
      <c r="R216" s="13">
        <f t="shared" si="56"/>
        <v>0.969321524083077</v>
      </c>
      <c r="S216" s="13">
        <f t="shared" si="57"/>
        <v>0.9914969112408156</v>
      </c>
      <c r="T216" s="13">
        <f t="shared" si="58"/>
        <v>0.3714182285376336</v>
      </c>
      <c r="U216" s="13">
        <f t="shared" si="59"/>
        <v>0.3602171268914131</v>
      </c>
      <c r="W216" s="387">
        <f>1*(M216-Val!$D$28)*PI()/4*Val!$D$2^2*(SIN(D216)+Val!$D$18/2*SIN(2*D216)/(1-Val!$D$18^2*SIN(D216)^2)^0.5)*Val!$D$4*(D216-D215)+1*(M216-Val!$D$28)*PI()/4*Val!$D$3^2*(SIN(E216)+Val!$D$19/2*SIN(2*E216)/(1-Val!$D$19^2*SIN(E216)^2)^0.5)*Val!$D$5*(E216-E215)</f>
        <v>-0.11978870997686872</v>
      </c>
    </row>
    <row r="217" spans="2:23" ht="13.5">
      <c r="B217" s="32">
        <v>212</v>
      </c>
      <c r="C217" s="32">
        <f>B217-Data!$D$10</f>
        <v>122</v>
      </c>
      <c r="D217" s="30">
        <f t="shared" si="52"/>
        <v>3.7000980142279785</v>
      </c>
      <c r="E217" s="30">
        <f t="shared" si="53"/>
        <v>2.129301687433082</v>
      </c>
      <c r="F217" s="26">
        <f>Val!$D$11*(1-COS(D217))+Val!$D$12*(1-COS(E217))</f>
        <v>0.0016889834607282967</v>
      </c>
      <c r="G217" s="26">
        <f>Val!$D$11*((1-COS(Calc!D217))+1/Val!$D$18*(1-(1-(Val!$D$18*SIN(Calc!D217))^2)^0.5))+Val!$D$12*((1-COS(Calc!E217))+1/Val!$D$19*(1-(1-(Val!$D$19*SIN(Calc!E217))^2)^0.5))</f>
        <v>0.0017435615509060866</v>
      </c>
      <c r="H217" s="26">
        <f t="shared" si="54"/>
        <v>-5.4578090177789937E-05</v>
      </c>
      <c r="I217" s="22">
        <f>Val!$D$11*(1-COS(D217))+Val!$D$14+Val!$D$13+Val!$D$12*((1-COS(Calc!E217)))+Val!$D$15</f>
        <v>0.0023889834607282966</v>
      </c>
      <c r="J217" s="22">
        <f>Val!$D$11*((1-COS(Calc!$D217))+1/Val!$D$18*(1-(1-(Val!$D$18*SIN(Calc!$D217))^2)^0.5))+Val!$D$14+Val!$D$13+Val!$D$12*((1-COS(Calc!$E217))+1/Val!$D$19*(1-(1-(Val!$D$19*SIN(Calc!$E217))^2)^0.5))+Val!$D$15</f>
        <v>0.0024435615509060863</v>
      </c>
      <c r="K217" s="44">
        <f t="shared" si="55"/>
        <v>-5.457809017778972E-05</v>
      </c>
      <c r="L217" s="50">
        <f>Val!$D$42*Val!$D$22/Val!$D$37/(1-Val!$D$39*COS(D217-Val!$D$40))</f>
        <v>62695.22699079357</v>
      </c>
      <c r="M217" s="50">
        <f>Val!$D$42*Val!$D$22/(Val!$D$11*((1-COS(Calc!D217))+1/Val!$D$18*(1-(1-(Val!$D$18*SIN(Calc!D217))^2)^0.5))/Val!$D$25+Val!$D$14/Val!$D$25+Val!$D$13/Val!$D$27+Val!$D$12*((1-COS(Calc!E217))+1/Val!$D$19*(1-(1-(Val!$D$19*SIN(Calc!E217))^2)^0.5))/Val!$D$26+Val!$D$15/Val!$D$26)</f>
        <v>60834.63270100964</v>
      </c>
      <c r="N217" s="16">
        <f t="shared" si="60"/>
        <v>0.1671387261332286</v>
      </c>
      <c r="O217" s="16">
        <f t="shared" si="61"/>
        <v>0.16168309053988822</v>
      </c>
      <c r="P217" s="16">
        <f t="shared" si="62"/>
        <v>-2.671120938324556E-06</v>
      </c>
      <c r="Q217" s="16">
        <f t="shared" si="63"/>
        <v>-2.6623015345953165E-06</v>
      </c>
      <c r="R217" s="13">
        <f t="shared" si="56"/>
        <v>0.9704918877228882</v>
      </c>
      <c r="S217" s="13">
        <f t="shared" si="57"/>
        <v>0.9926634910996673</v>
      </c>
      <c r="T217" s="13">
        <f t="shared" si="58"/>
        <v>0.3699264798834059</v>
      </c>
      <c r="U217" s="13">
        <f t="shared" si="59"/>
        <v>0.3589482423181762</v>
      </c>
      <c r="W217" s="387">
        <f>1*(M217-Val!$D$28)*PI()/4*Val!$D$2^2*(SIN(D217)+Val!$D$18/2*SIN(2*D217)/(1-Val!$D$18^2*SIN(D217)^2)^0.5)*Val!$D$4*(D217-D216)+1*(M217-Val!$D$28)*PI()/4*Val!$D$3^2*(SIN(E217)+Val!$D$19/2*SIN(2*E217)/(1-Val!$D$19^2*SIN(E217)^2)^0.5)*Val!$D$5*(E217-E216)</f>
        <v>-0.11197265802712061</v>
      </c>
    </row>
    <row r="218" spans="2:23" ht="13.5">
      <c r="B218" s="32">
        <v>213</v>
      </c>
      <c r="C218" s="32">
        <f>B218-Data!$D$10</f>
        <v>123</v>
      </c>
      <c r="D218" s="30">
        <f t="shared" si="52"/>
        <v>3.717551306747922</v>
      </c>
      <c r="E218" s="30">
        <f t="shared" si="53"/>
        <v>2.1467549799530254</v>
      </c>
      <c r="F218" s="26">
        <f>Val!$D$11*(1-COS(D218))+Val!$D$12*(1-COS(E218))</f>
        <v>0.0016916545816666212</v>
      </c>
      <c r="G218" s="26">
        <f>Val!$D$11*((1-COS(Calc!D218))+1/Val!$D$18*(1-(1-(Val!$D$18*SIN(Calc!D218))^2)^0.5))+Val!$D$12*((1-COS(Calc!E218))+1/Val!$D$19*(1-(1-(Val!$D$19*SIN(Calc!E218))^2)^0.5))</f>
        <v>0.001746223852440682</v>
      </c>
      <c r="H218" s="26">
        <f t="shared" si="54"/>
        <v>-5.45692707740607E-05</v>
      </c>
      <c r="I218" s="22">
        <f>Val!$D$11*(1-COS(D218))+Val!$D$14+Val!$D$13+Val!$D$12*((1-COS(Calc!E218)))+Val!$D$15</f>
        <v>0.002391654581666621</v>
      </c>
      <c r="J218" s="22">
        <f>Val!$D$11*((1-COS(Calc!$D218))+1/Val!$D$18*(1-(1-(Val!$D$18*SIN(Calc!$D218))^2)^0.5))+Val!$D$14+Val!$D$13+Val!$D$12*((1-COS(Calc!$E218))+1/Val!$D$19*(1-(1-(Val!$D$19*SIN(Calc!$E218))^2)^0.5))+Val!$D$15</f>
        <v>0.002446223852440682</v>
      </c>
      <c r="K218" s="44">
        <f t="shared" si="55"/>
        <v>-5.45692707740607E-05</v>
      </c>
      <c r="L218" s="50">
        <f>Val!$D$42*Val!$D$22/Val!$D$37/(1-Val!$D$39*COS(D218-Val!$D$40))</f>
        <v>62449.78141011046</v>
      </c>
      <c r="M218" s="50">
        <f>Val!$D$42*Val!$D$22/(Val!$D$11*((1-COS(Calc!D218))+1/Val!$D$18*(1-(1-(Val!$D$18*SIN(Calc!D218))^2)^0.5))/Val!$D$25+Val!$D$14/Val!$D$25+Val!$D$13/Val!$D$27+Val!$D$12*((1-COS(Calc!E218))+1/Val!$D$19*(1-(1-(Val!$D$19*SIN(Calc!E218))^2)^0.5))/Val!$D$26+Val!$D$15/Val!$D$26)</f>
        <v>60626.50792403358</v>
      </c>
      <c r="N218" s="16">
        <f t="shared" si="60"/>
        <v>0.1533607339562486</v>
      </c>
      <c r="O218" s="16">
        <f t="shared" si="61"/>
        <v>0.14841877998731282</v>
      </c>
      <c r="P218" s="16">
        <f t="shared" si="62"/>
        <v>-2.4604362129595526E-06</v>
      </c>
      <c r="Q218" s="16">
        <f t="shared" si="63"/>
        <v>-2.452154593432466E-06</v>
      </c>
      <c r="R218" s="13">
        <f t="shared" si="56"/>
        <v>0.9715769941057429</v>
      </c>
      <c r="S218" s="13">
        <f t="shared" si="57"/>
        <v>0.993745014720266</v>
      </c>
      <c r="T218" s="13">
        <f t="shared" si="58"/>
        <v>0.36847825449172855</v>
      </c>
      <c r="U218" s="13">
        <f t="shared" si="59"/>
        <v>0.35772022433628775</v>
      </c>
      <c r="W218" s="387">
        <f>1*(M218-Val!$D$28)*PI()/4*Val!$D$2^2*(SIN(D218)+Val!$D$18/2*SIN(2*D218)/(1-Val!$D$18^2*SIN(D218)^2)^0.5)*Val!$D$4*(D218-D217)+1*(M218-Val!$D$28)*PI()/4*Val!$D$3^2*(SIN(E218)+Val!$D$19/2*SIN(2*E218)/(1-Val!$D$19^2*SIN(E218)^2)^0.5)*Val!$D$5*(E218-E217)</f>
        <v>-0.10401641129317954</v>
      </c>
    </row>
    <row r="219" spans="2:23" ht="13.5">
      <c r="B219" s="32">
        <v>214</v>
      </c>
      <c r="C219" s="32">
        <f>B219-Data!$D$10</f>
        <v>124</v>
      </c>
      <c r="D219" s="30">
        <f t="shared" si="52"/>
        <v>3.735004599267865</v>
      </c>
      <c r="E219" s="30">
        <f t="shared" si="53"/>
        <v>2.1642082724729685</v>
      </c>
      <c r="F219" s="26">
        <f>Val!$D$11*(1-COS(D219))+Val!$D$12*(1-COS(E219))</f>
        <v>0.0016941150178795808</v>
      </c>
      <c r="G219" s="26">
        <f>Val!$D$11*((1-COS(Calc!D219))+1/Val!$D$18*(1-(1-(Val!$D$18*SIN(Calc!D219))^2)^0.5))+Val!$D$12*((1-COS(Calc!E219))+1/Val!$D$19*(1-(1-(Val!$D$19*SIN(Calc!E219))^2)^0.5))</f>
        <v>0.0017486760070341144</v>
      </c>
      <c r="H219" s="26">
        <f t="shared" si="54"/>
        <v>-5.456098915453361E-05</v>
      </c>
      <c r="I219" s="22">
        <f>Val!$D$11*(1-COS(D219))+Val!$D$14+Val!$D$13+Val!$D$12*((1-COS(Calc!E219)))+Val!$D$15</f>
        <v>0.0023941150178795807</v>
      </c>
      <c r="J219" s="22">
        <f>Val!$D$11*((1-COS(Calc!$D219))+1/Val!$D$18*(1-(1-(Val!$D$18*SIN(Calc!$D219))^2)^0.5))+Val!$D$14+Val!$D$13+Val!$D$12*((1-COS(Calc!$E219))+1/Val!$D$19*(1-(1-(Val!$D$19*SIN(Calc!$E219))^2)^0.5))+Val!$D$15</f>
        <v>0.0024486760070341145</v>
      </c>
      <c r="K219" s="44">
        <f t="shared" si="55"/>
        <v>-5.456098915453383E-05</v>
      </c>
      <c r="L219" s="50">
        <f>Val!$D$42*Val!$D$22/Val!$D$37/(1-Val!$D$39*COS(D219-Val!$D$40))</f>
        <v>62211.63687699693</v>
      </c>
      <c r="M219" s="50">
        <f>Val!$D$42*Val!$D$22/(Val!$D$11*((1-COS(Calc!D219))+1/Val!$D$18*(1-(1-(Val!$D$18*SIN(Calc!D219))^2)^0.5))/Val!$D$25+Val!$D$14/Val!$D$25+Val!$D$13/Val!$D$27+Val!$D$12*((1-COS(Calc!E219))+1/Val!$D$19*(1-(1-(Val!$D$19*SIN(Calc!E219))^2)^0.5))/Val!$D$26+Val!$D$15/Val!$D$26)</f>
        <v>60425.22379370181</v>
      </c>
      <c r="N219" s="16">
        <f t="shared" si="60"/>
        <v>0.13965443072750117</v>
      </c>
      <c r="O219" s="16">
        <f t="shared" si="61"/>
        <v>0.1352129681196595</v>
      </c>
      <c r="P219" s="16">
        <f t="shared" si="62"/>
        <v>-2.249002014889515E-06</v>
      </c>
      <c r="Q219" s="16">
        <f t="shared" si="63"/>
        <v>-2.2412985116030716E-06</v>
      </c>
      <c r="R219" s="13">
        <f t="shared" si="56"/>
        <v>0.9725765126977255</v>
      </c>
      <c r="S219" s="13">
        <f t="shared" si="57"/>
        <v>0.9947411690174763</v>
      </c>
      <c r="T219" s="13">
        <f t="shared" si="58"/>
        <v>0.367073108150188</v>
      </c>
      <c r="U219" s="13">
        <f t="shared" si="59"/>
        <v>0.3565325688581289</v>
      </c>
      <c r="W219" s="387">
        <f>1*(M219-Val!$D$28)*PI()/4*Val!$D$2^2*(SIN(D219)+Val!$D$18/2*SIN(2*D219)/(1-Val!$D$18^2*SIN(D219)^2)^0.5)*Val!$D$4*(D219-D218)+1*(M219-Val!$D$28)*PI()/4*Val!$D$3^2*(SIN(E219)+Val!$D$19/2*SIN(2*E219)/(1-Val!$D$19^2*SIN(E219)^2)^0.5)*Val!$D$5*(E219-E218)</f>
        <v>-0.09592654390082023</v>
      </c>
    </row>
    <row r="220" spans="2:23" ht="13.5">
      <c r="B220" s="32">
        <v>215</v>
      </c>
      <c r="C220" s="32">
        <f>B220-Data!$D$10</f>
        <v>125</v>
      </c>
      <c r="D220" s="30">
        <f t="shared" si="52"/>
        <v>3.7524578917878086</v>
      </c>
      <c r="E220" s="30">
        <f t="shared" si="53"/>
        <v>2.181661564992912</v>
      </c>
      <c r="F220" s="26">
        <f>Val!$D$11*(1-COS(D220))+Val!$D$12*(1-COS(E220))</f>
        <v>0.0016963640198944703</v>
      </c>
      <c r="G220" s="26">
        <f>Val!$D$11*((1-COS(Calc!D220))+1/Val!$D$18*(1-(1-(Val!$D$18*SIN(Calc!D220))^2)^0.5))+Val!$D$12*((1-COS(Calc!E220))+1/Val!$D$19*(1-(1-(Val!$D$19*SIN(Calc!E220))^2)^0.5))</f>
        <v>0.0017509173055457175</v>
      </c>
      <c r="H220" s="26">
        <f t="shared" si="54"/>
        <v>-5.455328565124717E-05</v>
      </c>
      <c r="I220" s="22">
        <f>Val!$D$11*(1-COS(D220))+Val!$D$14+Val!$D$13+Val!$D$12*((1-COS(Calc!E220)))+Val!$D$15</f>
        <v>0.00239636401989447</v>
      </c>
      <c r="J220" s="22">
        <f>Val!$D$11*((1-COS(Calc!$D220))+1/Val!$D$18*(1-(1-(Val!$D$18*SIN(Calc!$D220))^2)^0.5))+Val!$D$14+Val!$D$13+Val!$D$12*((1-COS(Calc!$E220))+1/Val!$D$19*(1-(1-(Val!$D$19*SIN(Calc!$E220))^2)^0.5))+Val!$D$15</f>
        <v>0.002450917305545717</v>
      </c>
      <c r="K220" s="44">
        <f t="shared" si="55"/>
        <v>-5.455328565124717E-05</v>
      </c>
      <c r="L220" s="50">
        <f>Val!$D$42*Val!$D$22/Val!$D$37/(1-Val!$D$39*COS(D220-Val!$D$40))</f>
        <v>61980.72026891281</v>
      </c>
      <c r="M220" s="50">
        <f>Val!$D$42*Val!$D$22/(Val!$D$11*((1-COS(Calc!D220))+1/Val!$D$18*(1-(1-(Val!$D$18*SIN(Calc!D220))^2)^0.5))/Val!$D$25+Val!$D$14/Val!$D$25+Val!$D$13/Val!$D$27+Val!$D$12*((1-COS(Calc!E220))+1/Val!$D$19*(1-(1-(Val!$D$19*SIN(Calc!E220))^2)^0.5))/Val!$D$26+Val!$D$15/Val!$D$26)</f>
        <v>60230.697244657</v>
      </c>
      <c r="N220" s="16">
        <f t="shared" si="60"/>
        <v>0.1260195737980845</v>
      </c>
      <c r="O220" s="16">
        <f t="shared" si="61"/>
        <v>0.12206531257461946</v>
      </c>
      <c r="P220" s="16">
        <f t="shared" si="62"/>
        <v>-2.0368827490185957E-06</v>
      </c>
      <c r="Q220" s="16">
        <f t="shared" si="63"/>
        <v>-2.0297948775610877E-06</v>
      </c>
      <c r="R220" s="13">
        <f t="shared" si="56"/>
        <v>0.9734901390357903</v>
      </c>
      <c r="S220" s="13">
        <f t="shared" si="57"/>
        <v>0.9956516659125919</v>
      </c>
      <c r="T220" s="13">
        <f t="shared" si="58"/>
        <v>0.3657106094070586</v>
      </c>
      <c r="U220" s="13">
        <f t="shared" si="59"/>
        <v>0.355384785765445</v>
      </c>
      <c r="W220" s="387">
        <f>1*(M220-Val!$D$28)*PI()/4*Val!$D$2^2*(SIN(D220)+Val!$D$18/2*SIN(2*D220)/(1-Val!$D$18^2*SIN(D220)^2)^0.5)*Val!$D$4*(D220-D219)+1*(M220-Val!$D$28)*PI()/4*Val!$D$3^2*(SIN(E220)+Val!$D$19/2*SIN(2*E220)/(1-Val!$D$19^2*SIN(E220)^2)^0.5)*Val!$D$5*(E220-E219)</f>
        <v>-0.0877096353271812</v>
      </c>
    </row>
    <row r="221" spans="2:23" ht="13.5">
      <c r="B221" s="32">
        <v>216</v>
      </c>
      <c r="C221" s="32">
        <f>B221-Data!$D$10</f>
        <v>126</v>
      </c>
      <c r="D221" s="30">
        <f t="shared" si="52"/>
        <v>3.7699111843077517</v>
      </c>
      <c r="E221" s="30">
        <f t="shared" si="53"/>
        <v>2.199114857512855</v>
      </c>
      <c r="F221" s="26">
        <f>Val!$D$11*(1-COS(D221))+Val!$D$12*(1-COS(E221))</f>
        <v>0.001698400902643489</v>
      </c>
      <c r="G221" s="26">
        <f>Val!$D$11*((1-COS(Calc!D221))+1/Val!$D$18*(1-(1-(Val!$D$18*SIN(Calc!D221))^2)^0.5))+Val!$D$12*((1-COS(Calc!E221))+1/Val!$D$19*(1-(1-(Val!$D$19*SIN(Calc!E221))^2)^0.5))</f>
        <v>0.0017529471004232786</v>
      </c>
      <c r="H221" s="26">
        <f t="shared" si="54"/>
        <v>-5.454619777978966E-05</v>
      </c>
      <c r="I221" s="22">
        <f>Val!$D$11*(1-COS(D221))+Val!$D$14+Val!$D$13+Val!$D$12*((1-COS(Calc!E221)))+Val!$D$15</f>
        <v>0.002398400902643489</v>
      </c>
      <c r="J221" s="22">
        <f>Val!$D$11*((1-COS(Calc!$D221))+1/Val!$D$18*(1-(1-(Val!$D$18*SIN(Calc!$D221))^2)^0.5))+Val!$D$14+Val!$D$13+Val!$D$12*((1-COS(Calc!$E221))+1/Val!$D$19*(1-(1-(Val!$D$19*SIN(Calc!$E221))^2)^0.5))+Val!$D$15</f>
        <v>0.0024529471004232782</v>
      </c>
      <c r="K221" s="44">
        <f t="shared" si="55"/>
        <v>-5.454619777978944E-05</v>
      </c>
      <c r="L221" s="50">
        <f>Val!$D$42*Val!$D$22/Val!$D$37/(1-Val!$D$39*COS(D221-Val!$D$40))</f>
        <v>61756.960615064876</v>
      </c>
      <c r="M221" s="50">
        <f>Val!$D$42*Val!$D$22/(Val!$D$11*((1-COS(Calc!D221))+1/Val!$D$18*(1-(1-(Val!$D$18*SIN(Calc!D221))^2)^0.5))/Val!$D$25+Val!$D$14/Val!$D$25+Val!$D$13/Val!$D$27+Val!$D$12*((1-COS(Calc!E221))+1/Val!$D$19*(1-(1-(Val!$D$19*SIN(Calc!E221))^2)^0.5))/Val!$D$26+Val!$D$15/Val!$D$26)</f>
        <v>60042.84755932613</v>
      </c>
      <c r="N221" s="16">
        <f t="shared" si="60"/>
        <v>0.11245590926338384</v>
      </c>
      <c r="O221" s="16">
        <f t="shared" si="61"/>
        <v>0.10897547194925956</v>
      </c>
      <c r="P221" s="16">
        <f t="shared" si="62"/>
        <v>-1.82414302893146E-06</v>
      </c>
      <c r="Q221" s="16">
        <f t="shared" si="63"/>
        <v>-1.8177053059636843E-06</v>
      </c>
      <c r="R221" s="13">
        <f t="shared" si="56"/>
        <v>0.9743175948205042</v>
      </c>
      <c r="S221" s="13">
        <f t="shared" si="57"/>
        <v>0.9964762423463752</v>
      </c>
      <c r="T221" s="13">
        <f t="shared" si="58"/>
        <v>0.3643903395067669</v>
      </c>
      <c r="U221" s="13">
        <f t="shared" si="59"/>
        <v>0.35427639879283135</v>
      </c>
      <c r="W221" s="387">
        <f>1*(M221-Val!$D$28)*PI()/4*Val!$D$2^2*(SIN(D221)+Val!$D$18/2*SIN(2*D221)/(1-Val!$D$18^2*SIN(D221)^2)^0.5)*Val!$D$4*(D221-D220)+1*(M221-Val!$D$28)*PI()/4*Val!$D$3^2*(SIN(E221)+Val!$D$19/2*SIN(2*E221)/(1-Val!$D$19^2*SIN(E221)^2)^0.5)*Val!$D$5*(E221-E220)</f>
        <v>-0.0793722679289176</v>
      </c>
    </row>
    <row r="222" spans="2:23" ht="13.5">
      <c r="B222" s="32">
        <v>217</v>
      </c>
      <c r="C222" s="32">
        <f>B222-Data!$D$10</f>
        <v>127</v>
      </c>
      <c r="D222" s="30">
        <f t="shared" si="52"/>
        <v>3.7873644768276953</v>
      </c>
      <c r="E222" s="30">
        <f t="shared" si="53"/>
        <v>2.2165681500327987</v>
      </c>
      <c r="F222" s="26">
        <f>Val!$D$11*(1-COS(D222))+Val!$D$12*(1-COS(E222))</f>
        <v>0.0017002250456724204</v>
      </c>
      <c r="G222" s="26">
        <f>Val!$D$11*((1-COS(Calc!D222))+1/Val!$D$18*(1-(1-(Val!$D$18*SIN(Calc!D222))^2)^0.5))+Val!$D$12*((1-COS(Calc!E222))+1/Val!$D$19*(1-(1-(Val!$D$19*SIN(Calc!E222))^2)^0.5))</f>
        <v>0.0017547648057292422</v>
      </c>
      <c r="H222" s="26">
        <f t="shared" si="54"/>
        <v>-5.4539760056821884E-05</v>
      </c>
      <c r="I222" s="22">
        <f>Val!$D$11*(1-COS(D222))+Val!$D$14+Val!$D$13+Val!$D$12*((1-COS(Calc!E222)))+Val!$D$15</f>
        <v>0.00240022504567242</v>
      </c>
      <c r="J222" s="22">
        <f>Val!$D$11*((1-COS(Calc!$D222))+1/Val!$D$18*(1-(1-(Val!$D$18*SIN(Calc!$D222))^2)^0.5))+Val!$D$14+Val!$D$13+Val!$D$12*((1-COS(Calc!$E222))+1/Val!$D$19*(1-(1-(Val!$D$19*SIN(Calc!$E222))^2)^0.5))+Val!$D$15</f>
        <v>0.002454764805729242</v>
      </c>
      <c r="K222" s="44">
        <f t="shared" si="55"/>
        <v>-5.4539760056821884E-05</v>
      </c>
      <c r="L222" s="50">
        <f>Val!$D$42*Val!$D$22/Val!$D$37/(1-Val!$D$39*COS(D222-Val!$D$40))</f>
        <v>61540.289084999735</v>
      </c>
      <c r="M222" s="50">
        <f>Val!$D$42*Val!$D$22/(Val!$D$11*((1-COS(Calc!D222))+1/Val!$D$18*(1-(1-(Val!$D$18*SIN(Calc!D222))^2)^0.5))/Val!$D$25+Val!$D$14/Val!$D$25+Val!$D$13/Val!$D$27+Val!$D$12*((1-COS(Calc!E222))+1/Val!$D$19*(1-(1-(Val!$D$19*SIN(Calc!E222))^2)^0.5))/Val!$D$26+Val!$D$15/Val!$D$26)</f>
        <v>59861.596347751045</v>
      </c>
      <c r="N222" s="16">
        <f t="shared" si="60"/>
        <v>0.09896317330352793</v>
      </c>
      <c r="O222" s="16">
        <f t="shared" si="61"/>
        <v>0.09594310757212142</v>
      </c>
      <c r="P222" s="16">
        <f t="shared" si="62"/>
        <v>-1.6108476572056912E-06</v>
      </c>
      <c r="Q222" s="16">
        <f t="shared" si="63"/>
        <v>-1.6050914325854704E-06</v>
      </c>
      <c r="R222" s="13">
        <f t="shared" si="56"/>
        <v>0.9750586280008194</v>
      </c>
      <c r="S222" s="13">
        <f t="shared" si="57"/>
        <v>0.9972146602897003</v>
      </c>
      <c r="T222" s="13">
        <f t="shared" si="58"/>
        <v>0.3631118923225862</v>
      </c>
      <c r="U222" s="13">
        <f t="shared" si="59"/>
        <v>0.3532069454087257</v>
      </c>
      <c r="W222" s="387">
        <f>1*(M222-Val!$D$28)*PI()/4*Val!$D$2^2*(SIN(D222)+Val!$D$18/2*SIN(2*D222)/(1-Val!$D$18^2*SIN(D222)^2)^0.5)*Val!$D$4*(D222-D221)+1*(M222-Val!$D$28)*PI()/4*Val!$D$3^2*(SIN(E222)+Val!$D$19/2*SIN(2*E222)/(1-Val!$D$19^2*SIN(E222)^2)^0.5)*Val!$D$5*(E222-E221)</f>
        <v>-0.07092102459574134</v>
      </c>
    </row>
    <row r="223" spans="2:23" ht="13.5">
      <c r="B223" s="32">
        <v>218</v>
      </c>
      <c r="C223" s="32">
        <f>B223-Data!$D$10</f>
        <v>128</v>
      </c>
      <c r="D223" s="30">
        <f aca="true" t="shared" si="64" ref="D223:D231">PI()/180*B223</f>
        <v>3.8048177693476384</v>
      </c>
      <c r="E223" s="30">
        <f aca="true" t="shared" si="65" ref="E223:E231">PI()/180*C223</f>
        <v>2.234021442552742</v>
      </c>
      <c r="F223" s="26">
        <f>Val!$D$11*(1-COS(D223))+Val!$D$12*(1-COS(E223))</f>
        <v>0.001701835893329626</v>
      </c>
      <c r="G223" s="26">
        <f>Val!$D$11*((1-COS(Calc!D223))+1/Val!$D$18*(1-(1-(Val!$D$18*SIN(Calc!D223))^2)^0.5))+Val!$D$12*((1-COS(Calc!E223))+1/Val!$D$19*(1-(1-(Val!$D$19*SIN(Calc!E223))^2)^0.5))</f>
        <v>0.0017563698971618277</v>
      </c>
      <c r="H223" s="26">
        <f aca="true" t="shared" si="66" ref="H223:H231">F223-G223</f>
        <v>-5.453400383220166E-05</v>
      </c>
      <c r="I223" s="22">
        <f>Val!$D$11*(1-COS(D223))+Val!$D$14+Val!$D$13+Val!$D$12*((1-COS(Calc!E223)))+Val!$D$15</f>
        <v>0.0024018358933296257</v>
      </c>
      <c r="J223" s="22">
        <f>Val!$D$11*((1-COS(Calc!$D223))+1/Val!$D$18*(1-(1-(Val!$D$18*SIN(Calc!$D223))^2)^0.5))+Val!$D$14+Val!$D$13+Val!$D$12*((1-COS(Calc!$E223))+1/Val!$D$19*(1-(1-(Val!$D$19*SIN(Calc!$E223))^2)^0.5))+Val!$D$15</f>
        <v>0.0024563698971618274</v>
      </c>
      <c r="K223" s="44">
        <f aca="true" t="shared" si="67" ref="K223:K231">I223-J223</f>
        <v>-5.453400383220166E-05</v>
      </c>
      <c r="L223" s="50">
        <f>Val!$D$42*Val!$D$22/Val!$D$37/(1-Val!$D$39*COS(D223-Val!$D$40))</f>
        <v>61330.63897681038</v>
      </c>
      <c r="M223" s="50">
        <f>Val!$D$42*Val!$D$22/(Val!$D$11*((1-COS(Calc!D223))+1/Val!$D$18*(1-(1-(Val!$D$18*SIN(Calc!D223))^2)^0.5))/Val!$D$25+Val!$D$14/Val!$D$25+Val!$D$13/Val!$D$27+Val!$D$12*((1-COS(Calc!E223))+1/Val!$D$19*(1-(1-(Val!$D$19*SIN(Calc!E223))^2)^0.5))/Val!$D$26+Val!$D$15/Val!$D$26)</f>
        <v>59686.86752707872</v>
      </c>
      <c r="N223" s="16">
        <f t="shared" si="60"/>
        <v>0.08554109347245628</v>
      </c>
      <c r="O223" s="16">
        <f t="shared" si="61"/>
        <v>0.0829678852370482</v>
      </c>
      <c r="P223" s="16">
        <f t="shared" si="62"/>
        <v>-1.3970616056799626E-06</v>
      </c>
      <c r="Q223" s="16">
        <f t="shared" si="63"/>
        <v>-1.3920149100031531E-06</v>
      </c>
      <c r="R223" s="13">
        <f t="shared" si="56"/>
        <v>0.9757130128508505</v>
      </c>
      <c r="S223" s="13">
        <f t="shared" si="57"/>
        <v>0.9978667067521328</v>
      </c>
      <c r="T223" s="13">
        <f t="shared" si="58"/>
        <v>0.36187487428704984</v>
      </c>
      <c r="U223" s="13">
        <f t="shared" si="59"/>
        <v>0.35217597669439304</v>
      </c>
      <c r="W223" s="387">
        <f>1*(M223-Val!$D$28)*PI()/4*Val!$D$2^2*(SIN(D223)+Val!$D$18/2*SIN(2*D223)/(1-Val!$D$18^2*SIN(D223)^2)^0.5)*Val!$D$4*(D223-D222)+1*(M223-Val!$D$28)*PI()/4*Val!$D$3^2*(SIN(E223)+Val!$D$19/2*SIN(2*E223)/(1-Val!$D$19^2*SIN(E223)^2)^0.5)*Val!$D$5*(E223-E222)</f>
        <v>-0.06236248652252743</v>
      </c>
    </row>
    <row r="224" spans="2:23" ht="13.5">
      <c r="B224" s="32">
        <v>219</v>
      </c>
      <c r="C224" s="32">
        <f>B224-Data!$D$10</f>
        <v>129</v>
      </c>
      <c r="D224" s="30">
        <f t="shared" si="64"/>
        <v>3.822271061867582</v>
      </c>
      <c r="E224" s="30">
        <f t="shared" si="65"/>
        <v>2.251474735072685</v>
      </c>
      <c r="F224" s="26">
        <f>Val!$D$11*(1-COS(D224))+Val!$D$12*(1-COS(E224))</f>
        <v>0.001703232954935306</v>
      </c>
      <c r="G224" s="26">
        <f>Val!$D$11*((1-COS(Calc!D224))+1/Val!$D$18*(1-(1-(Val!$D$18*SIN(Calc!D224))^2)^0.5))+Val!$D$12*((1-COS(Calc!E224))+1/Val!$D$19*(1-(1-(Val!$D$19*SIN(Calc!E224))^2)^0.5))</f>
        <v>0.0017577619120718309</v>
      </c>
      <c r="H224" s="26">
        <f t="shared" si="66"/>
        <v>-5.452895713652485E-05</v>
      </c>
      <c r="I224" s="22">
        <f>Val!$D$11*(1-COS(D224))+Val!$D$14+Val!$D$13+Val!$D$12*((1-COS(Calc!E224)))+Val!$D$15</f>
        <v>0.0024032329549353057</v>
      </c>
      <c r="J224" s="22">
        <f>Val!$D$11*((1-COS(Calc!$D224))+1/Val!$D$18*(1-(1-(Val!$D$18*SIN(Calc!$D224))^2)^0.5))+Val!$D$14+Val!$D$13+Val!$D$12*((1-COS(Calc!$E224))+1/Val!$D$19*(1-(1-(Val!$D$19*SIN(Calc!$E224))^2)^0.5))+Val!$D$15</f>
        <v>0.0024577619120718305</v>
      </c>
      <c r="K224" s="44">
        <f t="shared" si="67"/>
        <v>-5.452895713652485E-05</v>
      </c>
      <c r="L224" s="50">
        <f>Val!$D$42*Val!$D$22/Val!$D$37/(1-Val!$D$39*COS(D224-Val!$D$40))</f>
        <v>61127.94570503356</v>
      </c>
      <c r="M224" s="50">
        <f>Val!$D$42*Val!$D$22/(Val!$D$11*((1-COS(Calc!D224))+1/Val!$D$18*(1-(1-(Val!$D$18*SIN(Calc!D224))^2)^0.5))/Val!$D$25+Val!$D$14/Val!$D$25+Val!$D$13/Val!$D$27+Val!$D$12*((1-COS(Calc!E224))+1/Val!$D$19*(1-(1-(Val!$D$19*SIN(Calc!E224))^2)^0.5))/Val!$D$26+Val!$D$15/Val!$D$26)</f>
        <v>59518.587300786974</v>
      </c>
      <c r="N224" s="16">
        <f t="shared" si="60"/>
        <v>0.0721893899376867</v>
      </c>
      <c r="O224" s="16">
        <f t="shared" si="61"/>
        <v>0.0700494768974169</v>
      </c>
      <c r="P224" s="16">
        <f t="shared" si="62"/>
        <v>-1.1828499956547701E-06</v>
      </c>
      <c r="Q224" s="16">
        <f t="shared" si="63"/>
        <v>-1.178537403948715E-06</v>
      </c>
      <c r="R224" s="13">
        <f t="shared" si="56"/>
        <v>0.9762805500386335</v>
      </c>
      <c r="S224" s="13">
        <f t="shared" si="57"/>
        <v>0.9984321937887553</v>
      </c>
      <c r="T224" s="13">
        <f t="shared" si="58"/>
        <v>0.3606789043205409</v>
      </c>
      <c r="U224" s="13">
        <f t="shared" si="59"/>
        <v>0.3511830572213488</v>
      </c>
      <c r="W224" s="387">
        <f>1*(M224-Val!$D$28)*PI()/4*Val!$D$2^2*(SIN(D224)+Val!$D$18/2*SIN(2*D224)/(1-Val!$D$18^2*SIN(D224)^2)^0.5)*Val!$D$4*(D224-D223)+1*(M224-Val!$D$28)*PI()/4*Val!$D$3^2*(SIN(E224)+Val!$D$19/2*SIN(2*E224)/(1-Val!$D$19^2*SIN(E224)^2)^0.5)*Val!$D$5*(E224-E223)</f>
        <v>-0.05370323109320571</v>
      </c>
    </row>
    <row r="225" spans="2:23" ht="13.5">
      <c r="B225" s="32">
        <v>220</v>
      </c>
      <c r="C225" s="32">
        <f>B225-Data!$D$10</f>
        <v>130</v>
      </c>
      <c r="D225" s="30">
        <f t="shared" si="64"/>
        <v>3.839724354387525</v>
      </c>
      <c r="E225" s="30">
        <f t="shared" si="65"/>
        <v>2.2689280275926285</v>
      </c>
      <c r="F225" s="26">
        <f>Val!$D$11*(1-COS(D225))+Val!$D$12*(1-COS(E225))</f>
        <v>0.0017044158049309608</v>
      </c>
      <c r="G225" s="26">
        <f>Val!$D$11*((1-COS(Calc!D225))+1/Val!$D$18*(1-(1-(Val!$D$18*SIN(Calc!D225))^2)^0.5))+Val!$D$12*((1-COS(Calc!E225))+1/Val!$D$19*(1-(1-(Val!$D$19*SIN(Calc!E225))^2)^0.5))</f>
        <v>0.0017589404494757796</v>
      </c>
      <c r="H225" s="26">
        <f t="shared" si="66"/>
        <v>-5.45246445448188E-05</v>
      </c>
      <c r="I225" s="22">
        <f>Val!$D$11*(1-COS(D225))+Val!$D$14+Val!$D$13+Val!$D$12*((1-COS(Calc!E225)))+Val!$D$15</f>
        <v>0.0024044158049309605</v>
      </c>
      <c r="J225" s="22">
        <f>Val!$D$11*((1-COS(Calc!$D225))+1/Val!$D$18*(1-(1-(Val!$D$18*SIN(Calc!$D225))^2)^0.5))+Val!$D$14+Val!$D$13+Val!$D$12*((1-COS(Calc!$E225))+1/Val!$D$19*(1-(1-(Val!$D$19*SIN(Calc!$E225))^2)^0.5))+Val!$D$15</f>
        <v>0.0024589404494757792</v>
      </c>
      <c r="K225" s="44">
        <f t="shared" si="67"/>
        <v>-5.45246445448188E-05</v>
      </c>
      <c r="L225" s="50">
        <f>Val!$D$42*Val!$D$22/Val!$D$37/(1-Val!$D$39*COS(D225-Val!$D$40))</f>
        <v>60932.14678831094</v>
      </c>
      <c r="M225" s="50">
        <f>Val!$D$42*Val!$D$22/(Val!$D$11*((1-COS(Calc!D225))+1/Val!$D$18*(1-(1-(Val!$D$18*SIN(Calc!D225))^2)^0.5))/Val!$D$25+Val!$D$14/Val!$D$25+Val!$D$13/Val!$D$27+Val!$D$12*((1-COS(Calc!E225))+1/Val!$D$19*(1-(1-(Val!$D$19*SIN(Calc!E225))^2)^0.5))/Val!$D$26+Val!$D$15/Val!$D$26)</f>
        <v>59356.68413771743</v>
      </c>
      <c r="N225" s="16">
        <f t="shared" si="60"/>
        <v>0.05890777667445729</v>
      </c>
      <c r="O225" s="16">
        <f t="shared" si="61"/>
        <v>0.05718756232241134</v>
      </c>
      <c r="P225" s="16">
        <f t="shared" si="62"/>
        <v>-9.682780780632429E-07</v>
      </c>
      <c r="Q225" s="16">
        <f t="shared" si="63"/>
        <v>-9.64720590291429E-07</v>
      </c>
      <c r="R225" s="13">
        <f t="shared" si="56"/>
        <v>0.9767610666868425</v>
      </c>
      <c r="S225" s="13">
        <f t="shared" si="57"/>
        <v>0.9989109585055113</v>
      </c>
      <c r="T225" s="13">
        <f t="shared" si="58"/>
        <v>0.3595236137584887</v>
      </c>
      <c r="U225" s="13">
        <f t="shared" si="59"/>
        <v>0.3502277649276451</v>
      </c>
      <c r="W225" s="387">
        <f>1*(M225-Val!$D$28)*PI()/4*Val!$D$2^2*(SIN(D225)+Val!$D$18/2*SIN(2*D225)/(1-Val!$D$18^2*SIN(D225)^2)^0.5)*Val!$D$4*(D225-D224)+1*(M225-Val!$D$28)*PI()/4*Val!$D$3^2*(SIN(E225)+Val!$D$19/2*SIN(2*E225)/(1-Val!$D$19^2*SIN(E225)^2)^0.5)*Val!$D$5*(E225-E224)</f>
        <v>-0.04494982986926413</v>
      </c>
    </row>
    <row r="226" spans="2:23" ht="13.5">
      <c r="B226" s="32">
        <v>221</v>
      </c>
      <c r="C226" s="32">
        <f>B226-Data!$D$10</f>
        <v>131</v>
      </c>
      <c r="D226" s="30">
        <f t="shared" si="64"/>
        <v>3.857177646907468</v>
      </c>
      <c r="E226" s="30">
        <f t="shared" si="65"/>
        <v>2.2863813201125716</v>
      </c>
      <c r="F226" s="26">
        <f>Val!$D$11*(1-COS(D226))+Val!$D$12*(1-COS(E226))</f>
        <v>0.001705384083009024</v>
      </c>
      <c r="G226" s="26">
        <f>Val!$D$11*((1-COS(Calc!D226))+1/Val!$D$18*(1-(1-(Val!$D$18*SIN(Calc!D226))^2)^0.5))+Val!$D$12*((1-COS(Calc!E226))+1/Val!$D$19*(1-(1-(Val!$D$19*SIN(Calc!E226))^2)^0.5))</f>
        <v>0.001759905170066071</v>
      </c>
      <c r="H226" s="26">
        <f t="shared" si="66"/>
        <v>-5.4521087057046985E-05</v>
      </c>
      <c r="I226" s="22">
        <f>Val!$D$11*(1-COS(D226))+Val!$D$14+Val!$D$13+Val!$D$12*((1-COS(Calc!E226)))+Val!$D$15</f>
        <v>0.0024053840830090237</v>
      </c>
      <c r="J226" s="22">
        <f>Val!$D$11*((1-COS(Calc!$D226))+1/Val!$D$18*(1-(1-(Val!$D$18*SIN(Calc!$D226))^2)^0.5))+Val!$D$14+Val!$D$13+Val!$D$12*((1-COS(Calc!$E226))+1/Val!$D$19*(1-(1-(Val!$D$19*SIN(Calc!$E226))^2)^0.5))+Val!$D$15</f>
        <v>0.0024599051700660707</v>
      </c>
      <c r="K226" s="44">
        <f t="shared" si="67"/>
        <v>-5.4521087057046985E-05</v>
      </c>
      <c r="L226" s="50">
        <f>Val!$D$42*Val!$D$22/Val!$D$37/(1-Val!$D$39*COS(D226-Val!$D$40))</f>
        <v>60743.18183688125</v>
      </c>
      <c r="M226" s="50">
        <f>Val!$D$42*Val!$D$22/(Val!$D$11*((1-COS(Calc!D226))+1/Val!$D$18*(1-(1-(Val!$D$18*SIN(Calc!D226))^2)^0.5))/Val!$D$25+Val!$D$14/Val!$D$25+Val!$D$13/Val!$D$27+Val!$D$12*((1-COS(Calc!E226))+1/Val!$D$19*(1-(1-(Val!$D$19*SIN(Calc!E226))^2)^0.5))/Val!$D$26+Val!$D$15/Val!$D$26)</f>
        <v>59201.08875098135</v>
      </c>
      <c r="N226" s="16">
        <f t="shared" si="60"/>
        <v>0.045695962615299485</v>
      </c>
      <c r="O226" s="16">
        <f t="shared" si="61"/>
        <v>0.04438183071358493</v>
      </c>
      <c r="P226" s="16">
        <f t="shared" si="62"/>
        <v>-7.534112135883925E-07</v>
      </c>
      <c r="Q226" s="16">
        <f t="shared" si="63"/>
        <v>-7.506261525480964E-07</v>
      </c>
      <c r="R226" s="13">
        <f t="shared" si="56"/>
        <v>0.9771544164254521</v>
      </c>
      <c r="S226" s="13">
        <f t="shared" si="57"/>
        <v>0.9993028630633233</v>
      </c>
      <c r="T226" s="13">
        <f t="shared" si="58"/>
        <v>0.35840864627756724</v>
      </c>
      <c r="U226" s="13">
        <f t="shared" si="59"/>
        <v>0.34930969099340725</v>
      </c>
      <c r="W226" s="387">
        <f>1*(M226-Val!$D$28)*PI()/4*Val!$D$2^2*(SIN(D226)+Val!$D$18/2*SIN(2*D226)/(1-Val!$D$18^2*SIN(D226)^2)^0.5)*Val!$D$4*(D226-D225)+1*(M226-Val!$D$28)*PI()/4*Val!$D$3^2*(SIN(E226)+Val!$D$19/2*SIN(2*E226)/(1-Val!$D$19^2*SIN(E226)^2)^0.5)*Val!$D$5*(E226-E225)</f>
        <v>-0.03610884667550235</v>
      </c>
    </row>
    <row r="227" spans="2:23" ht="13.5">
      <c r="B227" s="32">
        <v>222</v>
      </c>
      <c r="C227" s="32">
        <f>B227-Data!$D$10</f>
        <v>132</v>
      </c>
      <c r="D227" s="30">
        <f t="shared" si="64"/>
        <v>3.8746309394274117</v>
      </c>
      <c r="E227" s="30">
        <f t="shared" si="65"/>
        <v>2.303834612632515</v>
      </c>
      <c r="F227" s="26">
        <f>Val!$D$11*(1-COS(D227))+Val!$D$12*(1-COS(E227))</f>
        <v>0.0017061374942226124</v>
      </c>
      <c r="G227" s="26">
        <f>Val!$D$11*((1-COS(Calc!D227))+1/Val!$D$18*(1-(1-(Val!$D$18*SIN(Calc!D227))^2)^0.5))+Val!$D$12*((1-COS(Calc!E227))+1/Val!$D$19*(1-(1-(Val!$D$19*SIN(Calc!E227))^2)^0.5))</f>
        <v>0.001760655796218619</v>
      </c>
      <c r="H227" s="26">
        <f t="shared" si="66"/>
        <v>-5.451830199600669E-05</v>
      </c>
      <c r="I227" s="22">
        <f>Val!$D$11*(1-COS(D227))+Val!$D$14+Val!$D$13+Val!$D$12*((1-COS(Calc!E227)))+Val!$D$15</f>
        <v>0.002406137494222612</v>
      </c>
      <c r="J227" s="22">
        <f>Val!$D$11*((1-COS(Calc!$D227))+1/Val!$D$18*(1-(1-(Val!$D$18*SIN(Calc!$D227))^2)^0.5))+Val!$D$14+Val!$D$13+Val!$D$12*((1-COS(Calc!$E227))+1/Val!$D$19*(1-(1-(Val!$D$19*SIN(Calc!$E227))^2)^0.5))+Val!$D$15</f>
        <v>0.0024606557962186188</v>
      </c>
      <c r="K227" s="44">
        <f t="shared" si="67"/>
        <v>-5.451830199600669E-05</v>
      </c>
      <c r="L227" s="50">
        <f>Val!$D$42*Val!$D$22/Val!$D$37/(1-Val!$D$39*COS(D227-Val!$D$40))</f>
        <v>60560.99253996667</v>
      </c>
      <c r="M227" s="50">
        <f>Val!$D$42*Val!$D$22/(Val!$D$11*((1-COS(Calc!D227))+1/Val!$D$18*(1-(1-(Val!$D$18*SIN(Calc!D227))^2)^0.5))/Val!$D$25+Val!$D$14/Val!$D$25+Val!$D$13/Val!$D$27+Val!$D$12*((1-COS(Calc!E227))+1/Val!$D$19*(1-(1-(Val!$D$19*SIN(Calc!E227))^2)^0.5))/Val!$D$26+Val!$D$15/Val!$D$26)</f>
        <v>59051.73407680086</v>
      </c>
      <c r="N227" s="16">
        <f t="shared" si="60"/>
        <v>0.03255365275895819</v>
      </c>
      <c r="O227" s="16">
        <f t="shared" si="61"/>
        <v>0.03163198228229919</v>
      </c>
      <c r="P227" s="16">
        <f t="shared" si="62"/>
        <v>-5.3831485275933E-07</v>
      </c>
      <c r="Q227" s="16">
        <f t="shared" si="63"/>
        <v>-5.363157798599257E-07</v>
      </c>
      <c r="R227" s="13">
        <f t="shared" si="56"/>
        <v>0.9774604794363212</v>
      </c>
      <c r="S227" s="13">
        <f t="shared" si="57"/>
        <v>0.9996077946812</v>
      </c>
      <c r="T227" s="13">
        <f t="shared" si="58"/>
        <v>0.3573336578212699</v>
      </c>
      <c r="U227" s="13">
        <f t="shared" si="59"/>
        <v>0.3484284397159881</v>
      </c>
      <c r="W227" s="387">
        <f>1*(M227-Val!$D$28)*PI()/4*Val!$D$2^2*(SIN(D227)+Val!$D$18/2*SIN(2*D227)/(1-Val!$D$18^2*SIN(D227)^2)^0.5)*Val!$D$4*(D227-D226)+1*(M227-Val!$D$28)*PI()/4*Val!$D$3^2*(SIN(E227)+Val!$D$19/2*SIN(2*E227)/(1-Val!$D$19^2*SIN(E227)^2)^0.5)*Val!$D$5*(E227-E226)</f>
        <v>-0.02718683577585254</v>
      </c>
    </row>
    <row r="228" spans="2:23" ht="13.5">
      <c r="B228" s="32">
        <v>223</v>
      </c>
      <c r="C228" s="32">
        <f>B228-Data!$D$10</f>
        <v>133</v>
      </c>
      <c r="D228" s="30">
        <f t="shared" si="64"/>
        <v>3.8920842319473548</v>
      </c>
      <c r="E228" s="30">
        <f t="shared" si="65"/>
        <v>2.321287905152458</v>
      </c>
      <c r="F228" s="26">
        <f>Val!$D$11*(1-COS(D228))+Val!$D$12*(1-COS(E228))</f>
        <v>0.0017066758090753717</v>
      </c>
      <c r="G228" s="26">
        <f>Val!$D$11*((1-COS(Calc!D228))+1/Val!$D$18*(1-(1-(Val!$D$18*SIN(Calc!D228))^2)^0.5))+Val!$D$12*((1-COS(Calc!E228))+1/Val!$D$19*(1-(1-(Val!$D$19*SIN(Calc!E228))^2)^0.5))</f>
        <v>0.001761192111998479</v>
      </c>
      <c r="H228" s="26">
        <f t="shared" si="66"/>
        <v>-5.4516302923107284E-05</v>
      </c>
      <c r="I228" s="22">
        <f>Val!$D$11*(1-COS(D228))+Val!$D$14+Val!$D$13+Val!$D$12*((1-COS(Calc!E228)))+Val!$D$15</f>
        <v>0.0024066758090753714</v>
      </c>
      <c r="J228" s="22">
        <f>Val!$D$11*((1-COS(Calc!$D228))+1/Val!$D$18*(1-(1-(Val!$D$18*SIN(Calc!$D228))^2)^0.5))+Val!$D$14+Val!$D$13+Val!$D$12*((1-COS(Calc!$E228))+1/Val!$D$19*(1-(1-(Val!$D$19*SIN(Calc!$E228))^2)^0.5))+Val!$D$15</f>
        <v>0.0024611921119984787</v>
      </c>
      <c r="K228" s="44">
        <f t="shared" si="67"/>
        <v>-5.4516302923107284E-05</v>
      </c>
      <c r="L228" s="50">
        <f>Val!$D$42*Val!$D$22/Val!$D$37/(1-Val!$D$39*COS(D228-Val!$D$40))</f>
        <v>60385.52265311231</v>
      </c>
      <c r="M228" s="50">
        <f>Val!$D$42*Val!$D$22/(Val!$D$11*((1-COS(Calc!D228))+1/Val!$D$18*(1-(1-(Val!$D$18*SIN(Calc!D228))^2)^0.5))/Val!$D$25+Val!$D$14/Val!$D$25+Val!$D$13/Val!$D$27+Val!$D$12*((1-COS(Calc!E228))+1/Val!$D$19*(1-(1-(Val!$D$19*SIN(Calc!E228))^2)^0.5))/Val!$D$26+Val!$D$15/Val!$D$26)</f>
        <v>58908.55525334262</v>
      </c>
      <c r="N228" s="16">
        <f t="shared" si="60"/>
        <v>0.019480549239761585</v>
      </c>
      <c r="O228" s="16">
        <f t="shared" si="61"/>
        <v>0.01893772978657798</v>
      </c>
      <c r="P228" s="16">
        <f t="shared" si="62"/>
        <v>-3.2305451601213724E-07</v>
      </c>
      <c r="Q228" s="16">
        <f t="shared" si="63"/>
        <v>-3.218511653397746E-07</v>
      </c>
      <c r="R228" s="13">
        <f t="shared" si="56"/>
        <v>0.9776791624896918</v>
      </c>
      <c r="S228" s="13">
        <f t="shared" si="57"/>
        <v>0.9998256656385206</v>
      </c>
      <c r="T228" s="13">
        <f t="shared" si="58"/>
        <v>0.35629831652520755</v>
      </c>
      <c r="U228" s="13">
        <f t="shared" si="59"/>
        <v>0.3475836283850788</v>
      </c>
      <c r="W228" s="387">
        <f>1*(M228-Val!$D$28)*PI()/4*Val!$D$2^2*(SIN(D228)+Val!$D$18/2*SIN(2*D228)/(1-Val!$D$18^2*SIN(D228)^2)^0.5)*Val!$D$4*(D228-D227)+1*(M228-Val!$D$28)*PI()/4*Val!$D$3^2*(SIN(E228)+Val!$D$19/2*SIN(2*E228)/(1-Val!$D$19^2*SIN(E228)^2)^0.5)*Val!$D$5*(E228-E227)</f>
        <v>-0.0181903401313169</v>
      </c>
    </row>
    <row r="229" spans="2:23" ht="13.5">
      <c r="B229" s="32">
        <v>224</v>
      </c>
      <c r="C229" s="32">
        <f>B229-Data!$D$10</f>
        <v>134</v>
      </c>
      <c r="D229" s="30">
        <f t="shared" si="64"/>
        <v>3.9095375244672983</v>
      </c>
      <c r="E229" s="30">
        <f t="shared" si="65"/>
        <v>2.3387411976724017</v>
      </c>
      <c r="F229" s="26">
        <f>Val!$D$11*(1-COS(D229))+Val!$D$12*(1-COS(E229))</f>
        <v>0.0017069988635913839</v>
      </c>
      <c r="G229" s="26">
        <f>Val!$D$11*((1-COS(Calc!D229))+1/Val!$D$18*(1-(1-(Val!$D$18*SIN(Calc!D229))^2)^0.5))+Val!$D$12*((1-COS(Calc!E229))+1/Val!$D$19*(1-(1-(Val!$D$19*SIN(Calc!E229))^2)^0.5))</f>
        <v>0.0017615139631638188</v>
      </c>
      <c r="H229" s="26">
        <f t="shared" si="66"/>
        <v>-5.451509957243492E-05</v>
      </c>
      <c r="I229" s="22">
        <f>Val!$D$11*(1-COS(D229))+Val!$D$14+Val!$D$13+Val!$D$12*((1-COS(Calc!E229)))+Val!$D$15</f>
        <v>0.0024069988635913838</v>
      </c>
      <c r="J229" s="22">
        <f>Val!$D$11*((1-COS(Calc!$D229))+1/Val!$D$18*(1-(1-(Val!$D$18*SIN(Calc!$D229))^2)^0.5))+Val!$D$14+Val!$D$13+Val!$D$12*((1-COS(Calc!$E229))+1/Val!$D$19*(1-(1-(Val!$D$19*SIN(Calc!$E229))^2)^0.5))+Val!$D$15</f>
        <v>0.0024615139631638185</v>
      </c>
      <c r="K229" s="44">
        <f t="shared" si="67"/>
        <v>-5.4515099572434705E-05</v>
      </c>
      <c r="L229" s="50">
        <f>Val!$D$42*Val!$D$22/Val!$D$37/(1-Val!$D$39*COS(D229-Val!$D$40))</f>
        <v>60216.71798553346</v>
      </c>
      <c r="M229" s="50">
        <f>Val!$D$42*Val!$D$22/(Val!$D$11*((1-COS(Calc!D229))+1/Val!$D$18*(1-(1-(Val!$D$18*SIN(Calc!D229))^2)^0.5))/Val!$D$25+Val!$D$14/Val!$D$25+Val!$D$13/Val!$D$27+Val!$D$12*((1-COS(Calc!E229))+1/Val!$D$19*(1-(1-(Val!$D$19*SIN(Calc!E229))^2)^0.5))/Val!$D$26+Val!$D$15/Val!$D$26)</f>
        <v>58771.48959959825</v>
      </c>
      <c r="N229" s="16">
        <f t="shared" si="60"/>
        <v>0.006476352360056188</v>
      </c>
      <c r="O229" s="16">
        <f t="shared" si="61"/>
        <v>0.0062988000282594775</v>
      </c>
      <c r="P229" s="16">
        <f t="shared" si="62"/>
        <v>-1.0769577372927129E-07</v>
      </c>
      <c r="Q229" s="16">
        <f t="shared" si="63"/>
        <v>-1.0729400473251036E-07</v>
      </c>
      <c r="R229" s="13">
        <f t="shared" si="56"/>
        <v>0.9778103989725876</v>
      </c>
      <c r="S229" s="13">
        <f t="shared" si="57"/>
        <v>0.9999564132766483</v>
      </c>
      <c r="T229" s="13">
        <f t="shared" si="58"/>
        <v>0.3553023026424521</v>
      </c>
      <c r="U229" s="13">
        <f t="shared" si="59"/>
        <v>0.34677488715809485</v>
      </c>
      <c r="W229" s="387">
        <f>1*(M229-Val!$D$28)*PI()/4*Val!$D$2^2*(SIN(D229)+Val!$D$18/2*SIN(2*D229)/(1-Val!$D$18^2*SIN(D229)^2)^0.5)*Val!$D$4*(D229-D228)+1*(M229-Val!$D$28)*PI()/4*Val!$D$3^2*(SIN(E229)+Val!$D$19/2*SIN(2*E229)/(1-Val!$D$19^2*SIN(E229)^2)^0.5)*Val!$D$5*(E229-E228)</f>
        <v>-0.009125889732670561</v>
      </c>
    </row>
    <row r="230" spans="2:24" ht="13.5">
      <c r="B230" s="98">
        <v>225</v>
      </c>
      <c r="C230" s="98">
        <f>B230-Data!$D$10</f>
        <v>135</v>
      </c>
      <c r="D230" s="99">
        <f t="shared" si="64"/>
        <v>3.9269908169872414</v>
      </c>
      <c r="E230" s="99">
        <f t="shared" si="65"/>
        <v>2.356194490192345</v>
      </c>
      <c r="F230" s="100">
        <f>Val!$D$11*(1-COS(D230))+Val!$D$12*(1-COS(E230))</f>
        <v>0.0017071065593651132</v>
      </c>
      <c r="G230" s="100">
        <f>Val!$D$11*((1-COS(Calc!D230))+1/Val!$D$18*(1-(1-(Val!$D$18*SIN(Calc!D230))^2)^0.5))+Val!$D$12*((1-COS(Calc!E230))+1/Val!$D$19*(1-(1-(Val!$D$19*SIN(Calc!E230))^2)^0.5))</f>
        <v>0.0017616212571685513</v>
      </c>
      <c r="H230" s="100">
        <f t="shared" si="66"/>
        <v>-5.451469780343816E-05</v>
      </c>
      <c r="I230" s="100">
        <f>Val!$D$11*(1-COS(D230))+Val!$D$14+Val!$D$13+Val!$D$12*((1-COS(Calc!E230)))+Val!$D$15</f>
        <v>0.002407106559365113</v>
      </c>
      <c r="J230" s="100">
        <f>Val!$D$11*((1-COS(Calc!$D230))+1/Val!$D$18*(1-(1-(Val!$D$18*SIN(Calc!$D230))^2)^0.5))+Val!$D$14+Val!$D$13+Val!$D$12*((1-COS(Calc!$E230))+1/Val!$D$19*(1-(1-(Val!$D$19*SIN(Calc!$E230))^2)^0.5))+Val!$D$15</f>
        <v>0.0024616212571685514</v>
      </c>
      <c r="K230" s="101">
        <f t="shared" si="67"/>
        <v>-5.4514697803438594E-05</v>
      </c>
      <c r="L230" s="230">
        <f>Val!$D$42*Val!$D$22/Val!$D$37/(1-Val!$D$39*COS(D230-Val!$D$40))</f>
        <v>60054.52638752182</v>
      </c>
      <c r="M230" s="230">
        <f>Val!$D$42*Val!$D$22/(Val!$D$11*((1-COS(Calc!D230))+1/Val!$D$18*(1-(1-(Val!$D$18*SIN(Calc!D230))^2)^0.5))/Val!$D$25+Val!$D$14/Val!$D$25+Val!$D$13/Val!$D$27+Val!$D$12*((1-COS(Calc!E230))+1/Val!$D$19*(1-(1-(Val!$D$19*SIN(Calc!E230))^2)^0.5))/Val!$D$26+Val!$D$15/Val!$D$26)</f>
        <v>58640.47659436124</v>
      </c>
      <c r="N230" s="395">
        <f t="shared" si="60"/>
        <v>-0.006459238411321488</v>
      </c>
      <c r="O230" s="395">
        <f t="shared" si="61"/>
        <v>-0.00628506469266978</v>
      </c>
      <c r="P230" s="395">
        <f t="shared" si="62"/>
        <v>1.0769577372927129E-07</v>
      </c>
      <c r="Q230" s="395">
        <f t="shared" si="63"/>
        <v>1.0729400473251036E-07</v>
      </c>
      <c r="R230" s="99">
        <f t="shared" si="56"/>
        <v>0.9778541489091042</v>
      </c>
      <c r="S230" s="99">
        <f t="shared" si="57"/>
        <v>1</v>
      </c>
      <c r="T230" s="99">
        <f t="shared" si="58"/>
        <v>0.3543453084692287</v>
      </c>
      <c r="U230" s="99">
        <f t="shared" si="59"/>
        <v>0.34600185893613156</v>
      </c>
      <c r="V230" s="406" t="s">
        <v>336</v>
      </c>
      <c r="W230" s="388">
        <f>1*(M230-Val!$D$28)*PI()/4*Val!$D$2^2*(SIN(D230)+Val!$D$18/2*SIN(2*D230)/(1-Val!$D$18^2*SIN(D230)^2)^0.5)*Val!$D$4*(D230-D229)+1*(M230-Val!$D$28)*PI()/4*Val!$D$3^2*(SIN(E230)+Val!$D$19/2*SIN(2*E230)/(1-Val!$D$19^2*SIN(E230)^2)^0.5)*Val!$D$5*(E230-E229)</f>
        <v>0</v>
      </c>
      <c r="X230" s="407"/>
    </row>
    <row r="231" spans="2:23" ht="13.5">
      <c r="B231" s="32">
        <v>226</v>
      </c>
      <c r="C231" s="32">
        <f>B231-Data!$D$10</f>
        <v>136</v>
      </c>
      <c r="D231" s="30">
        <f t="shared" si="64"/>
        <v>3.944444109507185</v>
      </c>
      <c r="E231" s="30">
        <f t="shared" si="65"/>
        <v>2.3736477827122884</v>
      </c>
      <c r="F231" s="26">
        <f>Val!$D$11*(1-COS(D231))+Val!$D$12*(1-COS(E231))</f>
        <v>0.0017069988635913839</v>
      </c>
      <c r="G231" s="26">
        <f>Val!$D$11*((1-COS(Calc!D231))+1/Val!$D$18*(1-(1-(Val!$D$18*SIN(Calc!D231))^2)^0.5))+Val!$D$12*((1-COS(Calc!E231))+1/Val!$D$19*(1-(1-(Val!$D$19*SIN(Calc!E231))^2)^0.5))</f>
        <v>0.0017615139631638188</v>
      </c>
      <c r="H231" s="26">
        <f t="shared" si="66"/>
        <v>-5.451509957243492E-05</v>
      </c>
      <c r="I231" s="22">
        <f>Val!$D$11*(1-COS(D231))+Val!$D$14+Val!$D$13+Val!$D$12*((1-COS(Calc!E231)))+Val!$D$15</f>
        <v>0.0024069988635913838</v>
      </c>
      <c r="J231" s="22">
        <f>Val!$D$11*((1-COS(Calc!$D231))+1/Val!$D$18*(1-(1-(Val!$D$18*SIN(Calc!$D231))^2)^0.5))+Val!$D$14+Val!$D$13+Val!$D$12*((1-COS(Calc!$E231))+1/Val!$D$19*(1-(1-(Val!$D$19*SIN(Calc!$E231))^2)^0.5))+Val!$D$15</f>
        <v>0.0024615139631638185</v>
      </c>
      <c r="K231" s="44">
        <f t="shared" si="67"/>
        <v>-5.4515099572434705E-05</v>
      </c>
      <c r="L231" s="50">
        <f>Val!$D$42*Val!$D$22/Val!$D$37/(1-Val!$D$39*COS(D231-Val!$D$40))</f>
        <v>59898.897737958</v>
      </c>
      <c r="M231" s="50">
        <f>Val!$D$42*Val!$D$22/(Val!$D$11*((1-COS(Calc!D231))+1/Val!$D$18*(1-(1-(Val!$D$18*SIN(Calc!D231))^2)^0.5))/Val!$D$25+Val!$D$14/Val!$D$25+Val!$D$13/Val!$D$27+Val!$D$12*((1-COS(Calc!E231))+1/Val!$D$19*(1-(1-(Val!$D$19*SIN(Calc!E231))^2)^0.5))/Val!$D$26+Val!$D$15/Val!$D$26)</f>
        <v>58515.45785534777</v>
      </c>
      <c r="N231" s="16">
        <f t="shared" si="60"/>
        <v>-0.01932652347419816</v>
      </c>
      <c r="O231" s="16">
        <f t="shared" si="61"/>
        <v>-0.0188141051641729</v>
      </c>
      <c r="P231" s="16">
        <f t="shared" si="62"/>
        <v>3.2305451601213724E-07</v>
      </c>
      <c r="Q231" s="16">
        <f t="shared" si="63"/>
        <v>3.218511653397746E-07</v>
      </c>
      <c r="R231" s="13">
        <f t="shared" si="56"/>
        <v>0.9778103989725876</v>
      </c>
      <c r="S231" s="13">
        <f t="shared" si="57"/>
        <v>0.9999564132766483</v>
      </c>
      <c r="T231" s="13">
        <f t="shared" si="58"/>
        <v>0.3534270382712341</v>
      </c>
      <c r="U231" s="13">
        <f t="shared" si="59"/>
        <v>0.34526419924076907</v>
      </c>
      <c r="W231" s="387">
        <f>1*(M231-Val!$D$28)*PI()/4*Val!$D$2^2*(SIN(D231)+Val!$D$18/2*SIN(2*D231)/(1-Val!$D$18^2*SIN(D231)^2)^0.5)*Val!$D$4*(D231-D230)+1*(M231-Val!$D$28)*PI()/4*Val!$D$3^2*(SIN(E231)+Val!$D$19/2*SIN(2*E231)/(1-Val!$D$19^2*SIN(E231)^2)^0.5)*Val!$D$5*(E231-E230)</f>
        <v>0.009180829758646147</v>
      </c>
    </row>
    <row r="232" spans="2:23" ht="13.5">
      <c r="B232" s="32">
        <v>227</v>
      </c>
      <c r="C232" s="32">
        <f>B232-Data!$D$10</f>
        <v>137</v>
      </c>
      <c r="D232" s="30">
        <f aca="true" t="shared" si="68" ref="D232:D267">PI()/180*B232</f>
        <v>3.961897402027128</v>
      </c>
      <c r="E232" s="30">
        <f aca="true" t="shared" si="69" ref="E232:E267">PI()/180*C232</f>
        <v>2.3911010752322315</v>
      </c>
      <c r="F232" s="26">
        <f>Val!$D$11*(1-COS(D232))+Val!$D$12*(1-COS(E232))</f>
        <v>0.0017066758090753717</v>
      </c>
      <c r="G232" s="26">
        <f>Val!$D$11*((1-COS(Calc!D232))+1/Val!$D$18*(1-(1-(Val!$D$18*SIN(Calc!D232))^2)^0.5))+Val!$D$12*((1-COS(Calc!E232))+1/Val!$D$19*(1-(1-(Val!$D$19*SIN(Calc!E232))^2)^0.5))</f>
        <v>0.001761192111998479</v>
      </c>
      <c r="H232" s="26">
        <f aca="true" t="shared" si="70" ref="H232:H267">F232-G232</f>
        <v>-5.4516302923107284E-05</v>
      </c>
      <c r="I232" s="22">
        <f>Val!$D$11*(1-COS(D232))+Val!$D$14+Val!$D$13+Val!$D$12*((1-COS(Calc!E232)))+Val!$D$15</f>
        <v>0.0024066758090753714</v>
      </c>
      <c r="J232" s="22">
        <f>Val!$D$11*((1-COS(Calc!$D232))+1/Val!$D$18*(1-(1-(Val!$D$18*SIN(Calc!$D232))^2)^0.5))+Val!$D$14+Val!$D$13+Val!$D$12*((1-COS(Calc!$E232))+1/Val!$D$19*(1-(1-(Val!$D$19*SIN(Calc!$E232))^2)^0.5))+Val!$D$15</f>
        <v>0.0024611921119984787</v>
      </c>
      <c r="K232" s="44">
        <f aca="true" t="shared" si="71" ref="K232:K267">I232-J232</f>
        <v>-5.4516302923107284E-05</v>
      </c>
      <c r="L232" s="50">
        <f>Val!$D$42*Val!$D$22/Val!$D$37/(1-Val!$D$39*COS(D232-Val!$D$40))</f>
        <v>59749.78393197468</v>
      </c>
      <c r="M232" s="50">
        <f>Val!$D$42*Val!$D$22/(Val!$D$11*((1-COS(Calc!D232))+1/Val!$D$18*(1-(1-(Val!$D$18*SIN(Calc!D232))^2)^0.5))/Val!$D$25+Val!$D$14/Val!$D$25+Val!$D$13/Val!$D$27+Val!$D$12*((1-COS(Calc!E232))+1/Val!$D$19*(1-(1-(Val!$D$19*SIN(Calc!E232))^2)^0.5))/Val!$D$26+Val!$D$15/Val!$D$26)</f>
        <v>58396.377118504584</v>
      </c>
      <c r="N232" s="16">
        <f t="shared" si="60"/>
        <v>-0.03212580216165589</v>
      </c>
      <c r="O232" s="16">
        <f t="shared" si="61"/>
        <v>-0.03128854389319729</v>
      </c>
      <c r="P232" s="16">
        <f t="shared" si="62"/>
        <v>5.383148527595468E-07</v>
      </c>
      <c r="Q232" s="16">
        <f t="shared" si="63"/>
        <v>5.363157798601425E-07</v>
      </c>
      <c r="R232" s="13">
        <f t="shared" si="56"/>
        <v>0.9776791624896918</v>
      </c>
      <c r="S232" s="13">
        <f t="shared" si="57"/>
        <v>0.9998256656385206</v>
      </c>
      <c r="T232" s="13">
        <f t="shared" si="58"/>
        <v>0.35254720821084484</v>
      </c>
      <c r="U232" s="13">
        <f t="shared" si="59"/>
        <v>0.3445615760919799</v>
      </c>
      <c r="W232" s="387">
        <f>1*(M232-Val!$D$28)*PI()/4*Val!$D$2^2*(SIN(D232)+Val!$D$18/2*SIN(2*D232)/(1-Val!$D$18^2*SIN(D232)^2)^0.5)*Val!$D$4*(D232-D231)+1*(M232-Val!$D$28)*PI()/4*Val!$D$3^2*(SIN(E232)+Val!$D$19/2*SIN(2*E232)/(1-Val!$D$19^2*SIN(E232)^2)^0.5)*Val!$D$5*(E232-E231)</f>
        <v>0.018410117837318718</v>
      </c>
    </row>
    <row r="233" spans="2:23" ht="13.5">
      <c r="B233" s="32">
        <v>228</v>
      </c>
      <c r="C233" s="32">
        <f>B233-Data!$D$10</f>
        <v>138</v>
      </c>
      <c r="D233" s="30">
        <f t="shared" si="68"/>
        <v>3.9793506945470716</v>
      </c>
      <c r="E233" s="30">
        <f t="shared" si="69"/>
        <v>2.4085543677521746</v>
      </c>
      <c r="F233" s="26">
        <f>Val!$D$11*(1-COS(D233))+Val!$D$12*(1-COS(E233))</f>
        <v>0.0017061374942226122</v>
      </c>
      <c r="G233" s="26">
        <f>Val!$D$11*((1-COS(Calc!D233))+1/Val!$D$18*(1-(1-(Val!$D$18*SIN(Calc!D233))^2)^0.5))+Val!$D$12*((1-COS(Calc!E233))+1/Val!$D$19*(1-(1-(Val!$D$19*SIN(Calc!E233))^2)^0.5))</f>
        <v>0.0017606557962186189</v>
      </c>
      <c r="H233" s="26">
        <f t="shared" si="70"/>
        <v>-5.451830199600669E-05</v>
      </c>
      <c r="I233" s="22">
        <f>Val!$D$11*(1-COS(D233))+Val!$D$14+Val!$D$13+Val!$D$12*((1-COS(Calc!E233)))+Val!$D$15</f>
        <v>0.002406137494222612</v>
      </c>
      <c r="J233" s="22">
        <f>Val!$D$11*((1-COS(Calc!$D233))+1/Val!$D$18*(1-(1-(Val!$D$18*SIN(Calc!$D233))^2)^0.5))+Val!$D$14+Val!$D$13+Val!$D$12*((1-COS(Calc!$E233))+1/Val!$D$19*(1-(1-(Val!$D$19*SIN(Calc!$E233))^2)^0.5))+Val!$D$15</f>
        <v>0.0024606557962186188</v>
      </c>
      <c r="K233" s="44">
        <f t="shared" si="71"/>
        <v>-5.451830199600669E-05</v>
      </c>
      <c r="L233" s="50">
        <f>Val!$D$42*Val!$D$22/Val!$D$37/(1-Val!$D$39*COS(D233-Val!$D$40))</f>
        <v>59607.13886881124</v>
      </c>
      <c r="M233" s="50">
        <f>Val!$D$42*Val!$D$22/(Val!$D$11*((1-COS(Calc!D233))+1/Val!$D$18*(1-(1-(Val!$D$18*SIN(Calc!D233))^2)^0.5))/Val!$D$25+Val!$D$14/Val!$D$25+Val!$D$13/Val!$D$27+Val!$D$12*((1-COS(Calc!E233))+1/Val!$D$19*(1-(1-(Val!$D$19*SIN(Calc!E233))^2)^0.5))/Val!$D$26+Val!$D$15/Val!$D$26)</f>
        <v>58283.180217545436</v>
      </c>
      <c r="N233" s="16">
        <f t="shared" si="60"/>
        <v>-0.0448573718343515</v>
      </c>
      <c r="O233" s="16">
        <f t="shared" si="61"/>
        <v>-0.04370858377880934</v>
      </c>
      <c r="P233" s="16">
        <f t="shared" si="62"/>
        <v>7.534112135881756E-07</v>
      </c>
      <c r="Q233" s="16">
        <f t="shared" si="63"/>
        <v>7.506261525478796E-07</v>
      </c>
      <c r="R233" s="13">
        <f t="shared" si="56"/>
        <v>0.9774604794363212</v>
      </c>
      <c r="S233" s="13">
        <f t="shared" si="57"/>
        <v>0.9996077946812</v>
      </c>
      <c r="T233" s="13">
        <f t="shared" si="58"/>
        <v>0.3517055462754547</v>
      </c>
      <c r="U233" s="13">
        <f t="shared" si="59"/>
        <v>0.34389366988738673</v>
      </c>
      <c r="W233" s="387">
        <f>1*(M233-Val!$D$28)*PI()/4*Val!$D$2^2*(SIN(D233)+Val!$D$18/2*SIN(2*D233)/(1-Val!$D$18^2*SIN(D233)^2)^0.5)*Val!$D$4*(D233-D232)+1*(M233-Val!$D$28)*PI()/4*Val!$D$3^2*(SIN(E233)+Val!$D$19/2*SIN(2*E233)/(1-Val!$D$19^2*SIN(E233)^2)^0.5)*Val!$D$5*(E233-E232)</f>
        <v>0.027681401578735082</v>
      </c>
    </row>
    <row r="234" spans="2:23" ht="13.5">
      <c r="B234" s="32">
        <v>229</v>
      </c>
      <c r="C234" s="32">
        <f>B234-Data!$D$10</f>
        <v>139</v>
      </c>
      <c r="D234" s="30">
        <f t="shared" si="68"/>
        <v>3.9968039870670147</v>
      </c>
      <c r="E234" s="30">
        <f t="shared" si="69"/>
        <v>2.426007660272118</v>
      </c>
      <c r="F234" s="26">
        <f>Val!$D$11*(1-COS(D234))+Val!$D$12*(1-COS(E234))</f>
        <v>0.001705384083009024</v>
      </c>
      <c r="G234" s="26">
        <f>Val!$D$11*((1-COS(Calc!D234))+1/Val!$D$18*(1-(1-(Val!$D$18*SIN(Calc!D234))^2)^0.5))+Val!$D$12*((1-COS(Calc!E234))+1/Val!$D$19*(1-(1-(Val!$D$19*SIN(Calc!E234))^2)^0.5))</f>
        <v>0.001759905170066071</v>
      </c>
      <c r="H234" s="26">
        <f t="shared" si="70"/>
        <v>-5.4521087057046985E-05</v>
      </c>
      <c r="I234" s="22">
        <f>Val!$D$11*(1-COS(D234))+Val!$D$14+Val!$D$13+Val!$D$12*((1-COS(Calc!E234)))+Val!$D$15</f>
        <v>0.0024053840830090237</v>
      </c>
      <c r="J234" s="22">
        <f>Val!$D$11*((1-COS(Calc!$D234))+1/Val!$D$18*(1-(1-(Val!$D$18*SIN(Calc!$D234))^2)^0.5))+Val!$D$14+Val!$D$13+Val!$D$12*((1-COS(Calc!$E234))+1/Val!$D$19*(1-(1-(Val!$D$19*SIN(Calc!$E234))^2)^0.5))+Val!$D$15</f>
        <v>0.0024599051700660707</v>
      </c>
      <c r="K234" s="44">
        <f t="shared" si="71"/>
        <v>-5.4521087057046985E-05</v>
      </c>
      <c r="L234" s="50">
        <f>Val!$D$42*Val!$D$22/Val!$D$37/(1-Val!$D$39*COS(D234-Val!$D$40))</f>
        <v>59470.918439898305</v>
      </c>
      <c r="M234" s="50">
        <f>Val!$D$42*Val!$D$22/(Val!$D$11*((1-COS(Calc!D234))+1/Val!$D$18*(1-(1-(Val!$D$18*SIN(Calc!D234))^2)^0.5))/Val!$D$25+Val!$D$14/Val!$D$25+Val!$D$13/Val!$D$27+Val!$D$12*((1-COS(Calc!E234))+1/Val!$D$19*(1-(1-(Val!$D$19*SIN(Calc!E234))^2)^0.5))/Val!$D$26+Val!$D$15/Val!$D$26)</f>
        <v>58175.81506375395</v>
      </c>
      <c r="N234" s="16">
        <f t="shared" si="60"/>
        <v>-0.05752152700049325</v>
      </c>
      <c r="O234" s="16">
        <f t="shared" si="61"/>
        <v>-0.05607440683201577</v>
      </c>
      <c r="P234" s="16">
        <f t="shared" si="62"/>
        <v>9.68278078063026E-07</v>
      </c>
      <c r="Q234" s="16">
        <f t="shared" si="63"/>
        <v>9.64720590291429E-07</v>
      </c>
      <c r="R234" s="13">
        <f t="shared" si="56"/>
        <v>0.9771544164254521</v>
      </c>
      <c r="S234" s="13">
        <f t="shared" si="57"/>
        <v>0.9993028630633233</v>
      </c>
      <c r="T234" s="13">
        <f t="shared" si="58"/>
        <v>0.3509017922071686</v>
      </c>
      <c r="U234" s="13">
        <f t="shared" si="59"/>
        <v>0.3432601732830909</v>
      </c>
      <c r="W234" s="387">
        <f>1*(M234-Val!$D$28)*PI()/4*Val!$D$2^2*(SIN(D234)+Val!$D$18/2*SIN(2*D234)/(1-Val!$D$18^2*SIN(D234)^2)^0.5)*Val!$D$4*(D234-D233)+1*(M234-Val!$D$28)*PI()/4*Val!$D$3^2*(SIN(E234)+Val!$D$19/2*SIN(2*E234)/(1-Val!$D$19^2*SIN(E234)^2)^0.5)*Val!$D$5*(E234-E233)</f>
        <v>0.03698823878503482</v>
      </c>
    </row>
    <row r="235" spans="2:23" ht="13.5">
      <c r="B235" s="32">
        <v>230</v>
      </c>
      <c r="C235" s="32">
        <f>B235-Data!$D$10</f>
        <v>140</v>
      </c>
      <c r="D235" s="30">
        <f t="shared" si="68"/>
        <v>4.014257279586958</v>
      </c>
      <c r="E235" s="30">
        <f t="shared" si="69"/>
        <v>2.443460952792061</v>
      </c>
      <c r="F235" s="26">
        <f>Val!$D$11*(1-COS(D235))+Val!$D$12*(1-COS(E235))</f>
        <v>0.001704415804930961</v>
      </c>
      <c r="G235" s="26">
        <f>Val!$D$11*((1-COS(Calc!D235))+1/Val!$D$18*(1-(1-(Val!$D$18*SIN(Calc!D235))^2)^0.5))+Val!$D$12*((1-COS(Calc!E235))+1/Val!$D$19*(1-(1-(Val!$D$19*SIN(Calc!E235))^2)^0.5))</f>
        <v>0.0017589404494757796</v>
      </c>
      <c r="H235" s="26">
        <f t="shared" si="70"/>
        <v>-5.452464454481858E-05</v>
      </c>
      <c r="I235" s="22">
        <f>Val!$D$11*(1-COS(D235))+Val!$D$14+Val!$D$13+Val!$D$12*((1-COS(Calc!E235)))+Val!$D$15</f>
        <v>0.002404415804930961</v>
      </c>
      <c r="J235" s="22">
        <f>Val!$D$11*((1-COS(Calc!$D235))+1/Val!$D$18*(1-(1-(Val!$D$18*SIN(Calc!$D235))^2)^0.5))+Val!$D$14+Val!$D$13+Val!$D$12*((1-COS(Calc!$E235))+1/Val!$D$19*(1-(1-(Val!$D$19*SIN(Calc!$E235))^2)^0.5))+Val!$D$15</f>
        <v>0.0024589404494757792</v>
      </c>
      <c r="K235" s="44">
        <f t="shared" si="71"/>
        <v>-5.4524644544818365E-05</v>
      </c>
      <c r="L235" s="50">
        <f>Val!$D$42*Val!$D$22/Val!$D$37/(1-Val!$D$39*COS(D235-Val!$D$40))</f>
        <v>59341.08051720709</v>
      </c>
      <c r="M235" s="50">
        <f>Val!$D$42*Val!$D$22/(Val!$D$11*((1-COS(Calc!D235))+1/Val!$D$18*(1-(1-(Val!$D$18*SIN(Calc!D235))^2)^0.5))/Val!$D$25+Val!$D$14/Val!$D$25+Val!$D$13/Val!$D$27+Val!$D$12*((1-COS(Calc!E235))+1/Val!$D$19*(1-(1-(Val!$D$19*SIN(Calc!E235))^2)^0.5))/Val!$D$26+Val!$D$15/Val!$D$26)</f>
        <v>58074.23162608905</v>
      </c>
      <c r="N235" s="16">
        <f t="shared" si="60"/>
        <v>-0.07011855846156821</v>
      </c>
      <c r="O235" s="16">
        <f t="shared" si="61"/>
        <v>-0.06838617294007607</v>
      </c>
      <c r="P235" s="16">
        <f t="shared" si="62"/>
        <v>1.1828499956547701E-06</v>
      </c>
      <c r="Q235" s="16">
        <f t="shared" si="63"/>
        <v>1.1785374039484982E-06</v>
      </c>
      <c r="R235" s="13">
        <f t="shared" si="56"/>
        <v>0.9767610666868426</v>
      </c>
      <c r="S235" s="13">
        <f t="shared" si="57"/>
        <v>0.9989109585055113</v>
      </c>
      <c r="T235" s="13">
        <f t="shared" si="58"/>
        <v>0.3501356974340595</v>
      </c>
      <c r="U235" s="13">
        <f t="shared" si="59"/>
        <v>0.34266079107628666</v>
      </c>
      <c r="W235" s="387">
        <f>1*(M235-Val!$D$28)*PI()/4*Val!$D$2^2*(SIN(D235)+Val!$D$18/2*SIN(2*D235)/(1-Val!$D$18^2*SIN(D235)^2)^0.5)*Val!$D$4*(D235-D234)+1*(M235-Val!$D$28)*PI()/4*Val!$D$3^2*(SIN(E235)+Val!$D$19/2*SIN(2*E235)/(1-Val!$D$19^2*SIN(E235)^2)^0.5)*Val!$D$5*(E235-E234)</f>
        <v>0.04632420910056079</v>
      </c>
    </row>
    <row r="236" spans="2:23" ht="13.5">
      <c r="B236" s="32">
        <v>231</v>
      </c>
      <c r="C236" s="32">
        <f>B236-Data!$D$10</f>
        <v>141</v>
      </c>
      <c r="D236" s="30">
        <f t="shared" si="68"/>
        <v>4.031710572106901</v>
      </c>
      <c r="E236" s="30">
        <f t="shared" si="69"/>
        <v>2.4609142453120048</v>
      </c>
      <c r="F236" s="26">
        <f>Val!$D$11*(1-COS(D236))+Val!$D$12*(1-COS(E236))</f>
        <v>0.0017032329549353062</v>
      </c>
      <c r="G236" s="26">
        <f>Val!$D$11*((1-COS(Calc!D236))+1/Val!$D$18*(1-(1-(Val!$D$18*SIN(Calc!D236))^2)^0.5))+Val!$D$12*((1-COS(Calc!E236))+1/Val!$D$19*(1-(1-(Val!$D$19*SIN(Calc!E236))^2)^0.5))</f>
        <v>0.001757761912071831</v>
      </c>
      <c r="H236" s="26">
        <f t="shared" si="70"/>
        <v>-5.452895713652485E-05</v>
      </c>
      <c r="I236" s="22">
        <f>Val!$D$11*(1-COS(D236))+Val!$D$14+Val!$D$13+Val!$D$12*((1-COS(Calc!E236)))+Val!$D$15</f>
        <v>0.002403232954935306</v>
      </c>
      <c r="J236" s="22">
        <f>Val!$D$11*((1-COS(Calc!$D236))+1/Val!$D$18*(1-(1-(Val!$D$18*SIN(Calc!$D236))^2)^0.5))+Val!$D$14+Val!$D$13+Val!$D$12*((1-COS(Calc!$E236))+1/Val!$D$19*(1-(1-(Val!$D$19*SIN(Calc!$E236))^2)^0.5))+Val!$D$15</f>
        <v>0.002457761912071831</v>
      </c>
      <c r="K236" s="44">
        <f t="shared" si="71"/>
        <v>-5.452895713652485E-05</v>
      </c>
      <c r="L236" s="50">
        <f>Val!$D$42*Val!$D$22/Val!$D$37/(1-Val!$D$39*COS(D236-Val!$D$40))</f>
        <v>59217.584941896836</v>
      </c>
      <c r="M236" s="50">
        <f>Val!$D$42*Val!$D$22/(Val!$D$11*((1-COS(Calc!D236))+1/Val!$D$18*(1-(1-(Val!$D$18*SIN(Calc!D236))^2)^0.5))/Val!$D$25+Val!$D$14/Val!$D$25+Val!$D$13/Val!$D$27+Val!$D$12*((1-COS(Calc!E236))+1/Val!$D$19*(1-(1-(Val!$D$19*SIN(Calc!E236))^2)^0.5))/Val!$D$26+Val!$D$15/Val!$D$26)</f>
        <v>57978.381911626224</v>
      </c>
      <c r="N236" s="16">
        <f t="shared" si="60"/>
        <v>-0.08264875248073114</v>
      </c>
      <c r="O236" s="16">
        <f t="shared" si="61"/>
        <v>-0.08064401867888754</v>
      </c>
      <c r="P236" s="16">
        <f t="shared" si="62"/>
        <v>1.3970616056801794E-06</v>
      </c>
      <c r="Q236" s="16">
        <f t="shared" si="63"/>
        <v>1.3920149100035868E-06</v>
      </c>
      <c r="R236" s="13">
        <f t="shared" si="56"/>
        <v>0.9762805500386336</v>
      </c>
      <c r="S236" s="13">
        <f t="shared" si="57"/>
        <v>0.9984321937887555</v>
      </c>
      <c r="T236" s="13">
        <f t="shared" si="58"/>
        <v>0.3494070250031836</v>
      </c>
      <c r="U236" s="13">
        <f t="shared" si="59"/>
        <v>0.3420952400898572</v>
      </c>
      <c r="W236" s="387">
        <f>1*(M236-Val!$D$28)*PI()/4*Val!$D$2^2*(SIN(D236)+Val!$D$18/2*SIN(2*D236)/(1-Val!$D$18^2*SIN(D236)^2)^0.5)*Val!$D$4*(D236-D235)+1*(M236-Val!$D$28)*PI()/4*Val!$D$3^2*(SIN(E236)+Val!$D$19/2*SIN(2*E236)/(1-Val!$D$19^2*SIN(E236)^2)^0.5)*Val!$D$5*(E236-E235)</f>
        <v>0.05568291537388237</v>
      </c>
    </row>
    <row r="237" spans="2:23" ht="13.5">
      <c r="B237" s="32">
        <v>232</v>
      </c>
      <c r="C237" s="32">
        <f>B237-Data!$D$10</f>
        <v>142</v>
      </c>
      <c r="D237" s="30">
        <f t="shared" si="68"/>
        <v>4.049163864626845</v>
      </c>
      <c r="E237" s="30">
        <f t="shared" si="69"/>
        <v>2.478367537831948</v>
      </c>
      <c r="F237" s="26">
        <f>Val!$D$11*(1-COS(D237))+Val!$D$12*(1-COS(E237))</f>
        <v>0.001701835893329626</v>
      </c>
      <c r="G237" s="26">
        <f>Val!$D$11*((1-COS(Calc!D237))+1/Val!$D$18*(1-(1-(Val!$D$18*SIN(Calc!D237))^2)^0.5))+Val!$D$12*((1-COS(Calc!E237))+1/Val!$D$19*(1-(1-(Val!$D$19*SIN(Calc!E237))^2)^0.5))</f>
        <v>0.0017563698971618275</v>
      </c>
      <c r="H237" s="26">
        <f t="shared" si="70"/>
        <v>-5.4534003832201446E-05</v>
      </c>
      <c r="I237" s="22">
        <f>Val!$D$11*(1-COS(D237))+Val!$D$14+Val!$D$13+Val!$D$12*((1-COS(Calc!E237)))+Val!$D$15</f>
        <v>0.0024018358933296257</v>
      </c>
      <c r="J237" s="22">
        <f>Val!$D$11*((1-COS(Calc!$D237))+1/Val!$D$18*(1-(1-(Val!$D$18*SIN(Calc!$D237))^2)^0.5))+Val!$D$14+Val!$D$13+Val!$D$12*((1-COS(Calc!$E237))+1/Val!$D$19*(1-(1-(Val!$D$19*SIN(Calc!$E237))^2)^0.5))+Val!$D$15</f>
        <v>0.0024563698971618274</v>
      </c>
      <c r="K237" s="44">
        <f t="shared" si="71"/>
        <v>-5.453400383220166E-05</v>
      </c>
      <c r="L237" s="50">
        <f>Val!$D$42*Val!$D$22/Val!$D$37/(1-Val!$D$39*COS(D237-Val!$D$40))</f>
        <v>59100.393513290306</v>
      </c>
      <c r="M237" s="50">
        <f>Val!$D$42*Val!$D$22/(Val!$D$11*((1-COS(Calc!D237))+1/Val!$D$18*(1-(1-(Val!$D$18*SIN(Calc!D237))^2)^0.5))/Val!$D$25+Val!$D$14/Val!$D$25+Val!$D$13/Val!$D$27+Val!$D$12*((1-COS(Calc!E237))+1/Val!$D$19*(1-(1-(Val!$D$19*SIN(Calc!E237))^2)^0.5))/Val!$D$26+Val!$D$15/Val!$D$26)</f>
        <v>57888.21994636644</v>
      </c>
      <c r="N237" s="16">
        <f t="shared" si="60"/>
        <v>-0.09511238997250798</v>
      </c>
      <c r="O237" s="16">
        <f t="shared" si="61"/>
        <v>-0.09284805617226338</v>
      </c>
      <c r="P237" s="16">
        <f t="shared" si="62"/>
        <v>1.610847657205908E-06</v>
      </c>
      <c r="Q237" s="16">
        <f t="shared" si="63"/>
        <v>1.6050914325854704E-06</v>
      </c>
      <c r="R237" s="13">
        <f t="shared" si="56"/>
        <v>0.9757130128508505</v>
      </c>
      <c r="S237" s="13">
        <f t="shared" si="57"/>
        <v>0.9978667067521328</v>
      </c>
      <c r="T237" s="13">
        <f t="shared" si="58"/>
        <v>0.34871554951553146</v>
      </c>
      <c r="U237" s="13">
        <f t="shared" si="59"/>
        <v>0.3415632490591393</v>
      </c>
      <c r="W237" s="387">
        <f>1*(M237-Val!$D$28)*PI()/4*Val!$D$2^2*(SIN(D237)+Val!$D$18/2*SIN(2*D237)/(1-Val!$D$18^2*SIN(D237)^2)^0.5)*Val!$D$4*(D237-D236)+1*(M237-Val!$D$28)*PI()/4*Val!$D$3^2*(SIN(E237)+Val!$D$19/2*SIN(2*E237)/(1-Val!$D$19^2*SIN(E237)^2)^0.5)*Val!$D$5*(E237-E236)</f>
        <v>0.06505798500691773</v>
      </c>
    </row>
    <row r="238" spans="2:23" ht="13.5">
      <c r="B238" s="32">
        <v>233</v>
      </c>
      <c r="C238" s="32">
        <f>B238-Data!$D$10</f>
        <v>143</v>
      </c>
      <c r="D238" s="30">
        <f t="shared" si="68"/>
        <v>4.066617157146788</v>
      </c>
      <c r="E238" s="30">
        <f t="shared" si="69"/>
        <v>2.4958208303518914</v>
      </c>
      <c r="F238" s="26">
        <f>Val!$D$11*(1-COS(D238))+Val!$D$12*(1-COS(E238))</f>
        <v>0.0017002250456724201</v>
      </c>
      <c r="G238" s="26">
        <f>Val!$D$11*((1-COS(Calc!D238))+1/Val!$D$18*(1-(1-(Val!$D$18*SIN(Calc!D238))^2)^0.5))+Val!$D$12*((1-COS(Calc!E238))+1/Val!$D$19*(1-(1-(Val!$D$19*SIN(Calc!E238))^2)^0.5))</f>
        <v>0.001754764805729242</v>
      </c>
      <c r="H238" s="26">
        <f t="shared" si="70"/>
        <v>-5.4539760056821884E-05</v>
      </c>
      <c r="I238" s="22">
        <f>Val!$D$11*(1-COS(D238))+Val!$D$14+Val!$D$13+Val!$D$12*((1-COS(Calc!E238)))+Val!$D$15</f>
        <v>0.00240022504567242</v>
      </c>
      <c r="J238" s="22">
        <f>Val!$D$11*((1-COS(Calc!$D238))+1/Val!$D$18*(1-(1-(Val!$D$18*SIN(Calc!$D238))^2)^0.5))+Val!$D$14+Val!$D$13+Val!$D$12*((1-COS(Calc!$E238))+1/Val!$D$19*(1-(1-(Val!$D$19*SIN(Calc!$E238))^2)^0.5))+Val!$D$15</f>
        <v>0.002454764805729242</v>
      </c>
      <c r="K238" s="44">
        <f t="shared" si="71"/>
        <v>-5.4539760056821884E-05</v>
      </c>
      <c r="L238" s="50">
        <f>Val!$D$42*Val!$D$22/Val!$D$37/(1-Val!$D$39*COS(D238-Val!$D$40))</f>
        <v>58989.46997820553</v>
      </c>
      <c r="M238" s="50">
        <f>Val!$D$42*Val!$D$22/(Val!$D$11*((1-COS(Calc!D238))+1/Val!$D$18*(1-(1-(Val!$D$18*SIN(Calc!D238))^2)^0.5))/Val!$D$25+Val!$D$14/Val!$D$25+Val!$D$13/Val!$D$27+Val!$D$12*((1-COS(Calc!E238))+1/Val!$D$19*(1-(1-(Val!$D$19*SIN(Calc!E238))^2)^0.5))/Val!$D$26+Val!$D$15/Val!$D$26)</f>
        <v>57803.70175644193</v>
      </c>
      <c r="N238" s="16">
        <f t="shared" si="60"/>
        <v>-0.10750974571297353</v>
      </c>
      <c r="O238" s="16">
        <f t="shared" si="61"/>
        <v>-0.1049983720014383</v>
      </c>
      <c r="P238" s="16">
        <f t="shared" si="62"/>
        <v>1.8241430289310263E-06</v>
      </c>
      <c r="Q238" s="16">
        <f t="shared" si="63"/>
        <v>1.8177053059634674E-06</v>
      </c>
      <c r="R238" s="13">
        <f t="shared" si="56"/>
        <v>0.9750586280008194</v>
      </c>
      <c r="S238" s="13">
        <f t="shared" si="57"/>
        <v>0.9972146602897003</v>
      </c>
      <c r="T238" s="13">
        <f t="shared" si="58"/>
        <v>0.3480610570630811</v>
      </c>
      <c r="U238" s="13">
        <f t="shared" si="59"/>
        <v>0.34106455852103057</v>
      </c>
      <c r="W238" s="387">
        <f>1*(M238-Val!$D$28)*PI()/4*Val!$D$2^2*(SIN(D238)+Val!$D$18/2*SIN(2*D238)/(1-Val!$D$18^2*SIN(D238)^2)^0.5)*Val!$D$4*(D238-D237)+1*(M238-Val!$D$28)*PI()/4*Val!$D$3^2*(SIN(E238)+Val!$D$19/2*SIN(2*E238)/(1-Val!$D$19^2*SIN(E238)^2)^0.5)*Val!$D$5*(E238-E237)</f>
        <v>0.07444307129788269</v>
      </c>
    </row>
    <row r="239" spans="2:23" ht="13.5">
      <c r="B239" s="32">
        <v>234</v>
      </c>
      <c r="C239" s="32">
        <f>B239-Data!$D$10</f>
        <v>144</v>
      </c>
      <c r="D239" s="30">
        <f t="shared" si="68"/>
        <v>4.084070449666731</v>
      </c>
      <c r="E239" s="30">
        <f t="shared" si="69"/>
        <v>2.5132741228718345</v>
      </c>
      <c r="F239" s="26">
        <f>Val!$D$11*(1-COS(D239))+Val!$D$12*(1-COS(E239))</f>
        <v>0.0016984009026434891</v>
      </c>
      <c r="G239" s="26">
        <f>Val!$D$11*((1-COS(Calc!D239))+1/Val!$D$18*(1-(1-(Val!$D$18*SIN(Calc!D239))^2)^0.5))+Val!$D$12*((1-COS(Calc!E239))+1/Val!$D$19*(1-(1-(Val!$D$19*SIN(Calc!E239))^2)^0.5))</f>
        <v>0.0017529471004232786</v>
      </c>
      <c r="H239" s="26">
        <f t="shared" si="70"/>
        <v>-5.454619777978944E-05</v>
      </c>
      <c r="I239" s="22">
        <f>Val!$D$11*(1-COS(D239))+Val!$D$14+Val!$D$13+Val!$D$12*((1-COS(Calc!E239)))+Val!$D$15</f>
        <v>0.002398400902643489</v>
      </c>
      <c r="J239" s="22">
        <f>Val!$D$11*((1-COS(Calc!$D239))+1/Val!$D$18*(1-(1-(Val!$D$18*SIN(Calc!$D239))^2)^0.5))+Val!$D$14+Val!$D$13+Val!$D$12*((1-COS(Calc!$E239))+1/Val!$D$19*(1-(1-(Val!$D$19*SIN(Calc!$E239))^2)^0.5))+Val!$D$15</f>
        <v>0.0024529471004232782</v>
      </c>
      <c r="K239" s="44">
        <f t="shared" si="71"/>
        <v>-5.454619777978944E-05</v>
      </c>
      <c r="L239" s="50">
        <f>Val!$D$42*Val!$D$22/Val!$D$37/(1-Val!$D$39*COS(D239-Val!$D$40))</f>
        <v>58884.78002066982</v>
      </c>
      <c r="M239" s="50">
        <f>Val!$D$42*Val!$D$22/(Val!$D$11*((1-COS(Calc!D239))+1/Val!$D$18*(1-(1-(Val!$D$18*SIN(Calc!D239))^2)^0.5))/Val!$D$25+Val!$D$14/Val!$D$25+Val!$D$13/Val!$D$27+Val!$D$12*((1-COS(Calc!E239))+1/Val!$D$19*(1-(1-(Val!$D$19*SIN(Calc!E239))^2)^0.5))/Val!$D$26+Val!$D$15/Val!$D$26)</f>
        <v>57724.78534974694</v>
      </c>
      <c r="N239" s="16">
        <f t="shared" si="60"/>
        <v>-0.1198410875669726</v>
      </c>
      <c r="O239" s="16">
        <f t="shared" si="61"/>
        <v>-0.11709502616306865</v>
      </c>
      <c r="P239" s="16">
        <f t="shared" si="62"/>
        <v>2.0368827490185957E-06</v>
      </c>
      <c r="Q239" s="16">
        <f t="shared" si="63"/>
        <v>2.029794877560871E-06</v>
      </c>
      <c r="R239" s="13">
        <f t="shared" si="56"/>
        <v>0.9743175948205042</v>
      </c>
      <c r="S239" s="13">
        <f t="shared" si="57"/>
        <v>0.9964762423463752</v>
      </c>
      <c r="T239" s="13">
        <f t="shared" si="58"/>
        <v>0.3474433451681068</v>
      </c>
      <c r="U239" s="13">
        <f t="shared" si="59"/>
        <v>0.34059892070560305</v>
      </c>
      <c r="W239" s="387">
        <f>1*(M239-Val!$D$28)*PI()/4*Val!$D$2^2*(SIN(D239)+Val!$D$18/2*SIN(2*D239)/(1-Val!$D$18^2*SIN(D239)^2)^0.5)*Val!$D$4*(D239-D238)+1*(M239-Val!$D$28)*PI()/4*Val!$D$3^2*(SIN(E239)+Val!$D$19/2*SIN(2*E239)/(1-Val!$D$19^2*SIN(E239)^2)^0.5)*Val!$D$5*(E239-E238)</f>
        <v>0.0838318547857464</v>
      </c>
    </row>
    <row r="240" spans="2:23" ht="13.5">
      <c r="B240" s="32">
        <v>235</v>
      </c>
      <c r="C240" s="32">
        <f>B240-Data!$D$10</f>
        <v>145</v>
      </c>
      <c r="D240" s="30">
        <f t="shared" si="68"/>
        <v>4.101523742186674</v>
      </c>
      <c r="E240" s="30">
        <f t="shared" si="69"/>
        <v>2.530727415391778</v>
      </c>
      <c r="F240" s="26">
        <f>Val!$D$11*(1-COS(D240))+Val!$D$12*(1-COS(E240))</f>
        <v>0.0016963640198944705</v>
      </c>
      <c r="G240" s="26">
        <f>Val!$D$11*((1-COS(Calc!D240))+1/Val!$D$18*(1-(1-(Val!$D$18*SIN(Calc!D240))^2)^0.5))+Val!$D$12*((1-COS(Calc!E240))+1/Val!$D$19*(1-(1-(Val!$D$19*SIN(Calc!E240))^2)^0.5))</f>
        <v>0.0017509173055457177</v>
      </c>
      <c r="H240" s="26">
        <f t="shared" si="70"/>
        <v>-5.455328565124717E-05</v>
      </c>
      <c r="I240" s="22">
        <f>Val!$D$11*(1-COS(D240))+Val!$D$14+Val!$D$13+Val!$D$12*((1-COS(Calc!E240)))+Val!$D$15</f>
        <v>0.00239636401989447</v>
      </c>
      <c r="J240" s="22">
        <f>Val!$D$11*((1-COS(Calc!$D240))+1/Val!$D$18*(1-(1-(Val!$D$18*SIN(Calc!$D240))^2)^0.5))+Val!$D$14+Val!$D$13+Val!$D$12*((1-COS(Calc!$E240))+1/Val!$D$19*(1-(1-(Val!$D$19*SIN(Calc!$E240))^2)^0.5))+Val!$D$15</f>
        <v>0.002450917305545717</v>
      </c>
      <c r="K240" s="44">
        <f t="shared" si="71"/>
        <v>-5.455328565124717E-05</v>
      </c>
      <c r="L240" s="50">
        <f>Val!$D$42*Val!$D$22/Val!$D$37/(1-Val!$D$39*COS(D240-Val!$D$40))</f>
        <v>58786.291252039715</v>
      </c>
      <c r="M240" s="50">
        <f>Val!$D$42*Val!$D$22/(Val!$D$11*((1-COS(Calc!D240))+1/Val!$D$18*(1-(1-(Val!$D$18*SIN(Calc!D240))^2)^0.5))/Val!$D$25+Val!$D$14/Val!$D$25+Val!$D$13/Val!$D$27+Val!$D$12*((1-COS(Calc!E240))+1/Val!$D$19*(1-(1-(Val!$D$19*SIN(Calc!E240))^2)^0.5))/Val!$D$26+Val!$D$15/Val!$D$26)</f>
        <v>57651.4306980193</v>
      </c>
      <c r="N240" s="16">
        <f t="shared" si="60"/>
        <v>-0.13210667573292448</v>
      </c>
      <c r="O240" s="16">
        <f t="shared" si="61"/>
        <v>-0.12913805107954557</v>
      </c>
      <c r="P240" s="16">
        <f t="shared" si="62"/>
        <v>2.2490020148899486E-06</v>
      </c>
      <c r="Q240" s="16">
        <f t="shared" si="63"/>
        <v>2.2412985116032885E-06</v>
      </c>
      <c r="R240" s="13">
        <f t="shared" si="56"/>
        <v>0.9734901390357903</v>
      </c>
      <c r="S240" s="13">
        <f t="shared" si="57"/>
        <v>0.9956516659125919</v>
      </c>
      <c r="T240" s="13">
        <f t="shared" si="58"/>
        <v>0.3468622227248826</v>
      </c>
      <c r="U240" s="13">
        <f t="shared" si="59"/>
        <v>0.340166099430378</v>
      </c>
      <c r="W240" s="387">
        <f>1*(M240-Val!$D$28)*PI()/4*Val!$D$2^2*(SIN(D240)+Val!$D$18/2*SIN(2*D240)/(1-Val!$D$18^2*SIN(D240)^2)^0.5)*Val!$D$4*(D240-D239)+1*(M240-Val!$D$28)*PI()/4*Val!$D$3^2*(SIN(E240)+Val!$D$19/2*SIN(2*E240)/(1-Val!$D$19^2*SIN(E240)^2)^0.5)*Val!$D$5*(E240-E239)</f>
        <v>0.09321804460221994</v>
      </c>
    </row>
    <row r="241" spans="2:23" ht="13.5">
      <c r="B241" s="32">
        <v>236</v>
      </c>
      <c r="C241" s="32">
        <f>B241-Data!$D$10</f>
        <v>146</v>
      </c>
      <c r="D241" s="30">
        <f t="shared" si="68"/>
        <v>4.118977034706618</v>
      </c>
      <c r="E241" s="30">
        <f t="shared" si="69"/>
        <v>2.548180707911721</v>
      </c>
      <c r="F241" s="26">
        <f>Val!$D$11*(1-COS(D241))+Val!$D$12*(1-COS(E241))</f>
        <v>0.0016941150178795806</v>
      </c>
      <c r="G241" s="26">
        <f>Val!$D$11*((1-COS(Calc!D241))+1/Val!$D$18*(1-(1-(Val!$D$18*SIN(Calc!D241))^2)^0.5))+Val!$D$12*((1-COS(Calc!E241))+1/Val!$D$19*(1-(1-(Val!$D$19*SIN(Calc!E241))^2)^0.5))</f>
        <v>0.0017486760070341144</v>
      </c>
      <c r="H241" s="26">
        <f t="shared" si="70"/>
        <v>-5.456098915453383E-05</v>
      </c>
      <c r="I241" s="22">
        <f>Val!$D$11*(1-COS(D241))+Val!$D$14+Val!$D$13+Val!$D$12*((1-COS(Calc!E241)))+Val!$D$15</f>
        <v>0.0023941150178795807</v>
      </c>
      <c r="J241" s="22">
        <f>Val!$D$11*((1-COS(Calc!$D241))+1/Val!$D$18*(1-(1-(Val!$D$18*SIN(Calc!$D241))^2)^0.5))+Val!$D$14+Val!$D$13+Val!$D$12*((1-COS(Calc!$E241))+1/Val!$D$19*(1-(1-(Val!$D$19*SIN(Calc!$E241))^2)^0.5))+Val!$D$15</f>
        <v>0.002448676007034114</v>
      </c>
      <c r="K241" s="44">
        <f t="shared" si="71"/>
        <v>-5.4560989154533394E-05</v>
      </c>
      <c r="L241" s="50">
        <f>Val!$D$42*Val!$D$22/Val!$D$37/(1-Val!$D$39*COS(D241-Val!$D$40))</f>
        <v>58693.973201549146</v>
      </c>
      <c r="M241" s="50">
        <f>Val!$D$42*Val!$D$22/(Val!$D$11*((1-COS(Calc!D241))+1/Val!$D$18*(1-(1-(Val!$D$18*SIN(Calc!D241))^2)^0.5))/Val!$D$25+Val!$D$14/Val!$D$25+Val!$D$13/Val!$D$27+Val!$D$12*((1-COS(Calc!E241))+1/Val!$D$19*(1-(1-(Val!$D$19*SIN(Calc!E241))^2)^0.5))/Val!$D$26+Val!$D$15/Val!$D$26)</f>
        <v>57583.59971939757</v>
      </c>
      <c r="N241" s="16">
        <f t="shared" si="60"/>
        <v>-0.1443067620021289</v>
      </c>
      <c r="O241" s="16">
        <f t="shared" si="61"/>
        <v>-0.14112745065992946</v>
      </c>
      <c r="P241" s="16">
        <f t="shared" si="62"/>
        <v>2.460436212959336E-06</v>
      </c>
      <c r="Q241" s="16">
        <f t="shared" si="63"/>
        <v>2.452154593432466E-06</v>
      </c>
      <c r="R241" s="13">
        <f t="shared" si="56"/>
        <v>0.9725765126977255</v>
      </c>
      <c r="S241" s="13">
        <f t="shared" si="57"/>
        <v>0.9947411690174761</v>
      </c>
      <c r="T241" s="13">
        <f t="shared" si="58"/>
        <v>0.34631750994391297</v>
      </c>
      <c r="U241" s="13">
        <f t="shared" si="59"/>
        <v>0.33976586999740593</v>
      </c>
      <c r="W241" s="387">
        <f>1*(M241-Val!$D$28)*PI()/4*Val!$D$2^2*(SIN(D241)+Val!$D$18/2*SIN(2*D241)/(1-Val!$D$18^2*SIN(D241)^2)^0.5)*Val!$D$4*(D241-D240)+1*(M241-Val!$D$28)*PI()/4*Val!$D$3^2*(SIN(E241)+Val!$D$19/2*SIN(2*E241)/(1-Val!$D$19^2*SIN(E241)^2)^0.5)*Val!$D$5*(E241-E240)</f>
        <v>0.10259537983861666</v>
      </c>
    </row>
    <row r="242" spans="2:23" ht="13.5">
      <c r="B242" s="32">
        <v>237</v>
      </c>
      <c r="C242" s="32">
        <f>B242-Data!$D$10</f>
        <v>147</v>
      </c>
      <c r="D242" s="30">
        <f t="shared" si="68"/>
        <v>4.136430327226561</v>
      </c>
      <c r="E242" s="30">
        <f t="shared" si="69"/>
        <v>2.5656340004316642</v>
      </c>
      <c r="F242" s="26">
        <f>Val!$D$11*(1-COS(D242))+Val!$D$12*(1-COS(E242))</f>
        <v>0.0016916545816666212</v>
      </c>
      <c r="G242" s="26">
        <f>Val!$D$11*((1-COS(Calc!D242))+1/Val!$D$18*(1-(1-(Val!$D$18*SIN(Calc!D242))^2)^0.5))+Val!$D$12*((1-COS(Calc!E242))+1/Val!$D$19*(1-(1-(Val!$D$19*SIN(Calc!E242))^2)^0.5))</f>
        <v>0.001746223852440682</v>
      </c>
      <c r="H242" s="26">
        <f t="shared" si="70"/>
        <v>-5.45692707740607E-05</v>
      </c>
      <c r="I242" s="22">
        <f>Val!$D$11*(1-COS(D242))+Val!$D$14+Val!$D$13+Val!$D$12*((1-COS(Calc!E242)))+Val!$D$15</f>
        <v>0.002391654581666621</v>
      </c>
      <c r="J242" s="22">
        <f>Val!$D$11*((1-COS(Calc!$D242))+1/Val!$D$18*(1-(1-(Val!$D$18*SIN(Calc!$D242))^2)^0.5))+Val!$D$14+Val!$D$13+Val!$D$12*((1-COS(Calc!$E242))+1/Val!$D$19*(1-(1-(Val!$D$19*SIN(Calc!$E242))^2)^0.5))+Val!$D$15</f>
        <v>0.002446223852440682</v>
      </c>
      <c r="K242" s="44">
        <f t="shared" si="71"/>
        <v>-5.45692707740607E-05</v>
      </c>
      <c r="L242" s="50">
        <f>Val!$D$42*Val!$D$22/Val!$D$37/(1-Val!$D$39*COS(D242-Val!$D$40))</f>
        <v>58607.79730730588</v>
      </c>
      <c r="M242" s="50">
        <f>Val!$D$42*Val!$D$22/(Val!$D$11*((1-COS(Calc!D242))+1/Val!$D$18*(1-(1-(Val!$D$18*SIN(Calc!D242))^2)^0.5))/Val!$D$25+Val!$D$14/Val!$D$25+Val!$D$13/Val!$D$27+Val!$D$12*((1-COS(Calc!E242))+1/Val!$D$19*(1-(1-(Val!$D$19*SIN(Calc!E242))^2)^0.5))/Val!$D$26+Val!$D$15/Val!$D$26)</f>
        <v>57521.25626147693</v>
      </c>
      <c r="N242" s="16">
        <f t="shared" si="60"/>
        <v>-0.15644158903184055</v>
      </c>
      <c r="O242" s="16">
        <f t="shared" si="61"/>
        <v>-0.15306319941457205</v>
      </c>
      <c r="P242" s="16">
        <f t="shared" si="62"/>
        <v>2.671120938324339E-06</v>
      </c>
      <c r="Q242" s="16">
        <f t="shared" si="63"/>
        <v>2.6623015345953165E-06</v>
      </c>
      <c r="R242" s="13">
        <f t="shared" si="56"/>
        <v>0.9715769941057429</v>
      </c>
      <c r="S242" s="13">
        <f t="shared" si="57"/>
        <v>0.993745014720266</v>
      </c>
      <c r="T242" s="13">
        <f t="shared" si="58"/>
        <v>0.3458090382988084</v>
      </c>
      <c r="U242" s="13">
        <f t="shared" si="59"/>
        <v>0.3393980190932896</v>
      </c>
      <c r="W242" s="387">
        <f>1*(M242-Val!$D$28)*PI()/4*Val!$D$2^2*(SIN(D242)+Val!$D$18/2*SIN(2*D242)/(1-Val!$D$18^2*SIN(D242)^2)^0.5)*Val!$D$4*(D242-D241)+1*(M242-Val!$D$28)*PI()/4*Val!$D$3^2*(SIN(E242)+Val!$D$19/2*SIN(2*E242)/(1-Val!$D$19^2*SIN(E242)^2)^0.5)*Val!$D$5*(E242-E241)</f>
        <v>0.11195763093318348</v>
      </c>
    </row>
    <row r="243" spans="2:23" ht="13.5">
      <c r="B243" s="32">
        <v>238</v>
      </c>
      <c r="C243" s="32">
        <f>B243-Data!$D$10</f>
        <v>148</v>
      </c>
      <c r="D243" s="30">
        <f t="shared" si="68"/>
        <v>4.153883619746504</v>
      </c>
      <c r="E243" s="30">
        <f t="shared" si="69"/>
        <v>2.5830872929516078</v>
      </c>
      <c r="F243" s="26">
        <f>Val!$D$11*(1-COS(D243))+Val!$D$12*(1-COS(E243))</f>
        <v>0.001688983460728297</v>
      </c>
      <c r="G243" s="26">
        <f>Val!$D$11*((1-COS(Calc!D243))+1/Val!$D$18*(1-(1-(Val!$D$18*SIN(Calc!D243))^2)^0.5))+Val!$D$12*((1-COS(Calc!E243))+1/Val!$D$19*(1-(1-(Val!$D$19*SIN(Calc!E243))^2)^0.5))</f>
        <v>0.0017435615509060866</v>
      </c>
      <c r="H243" s="26">
        <f t="shared" si="70"/>
        <v>-5.457809017778972E-05</v>
      </c>
      <c r="I243" s="22">
        <f>Val!$D$11*(1-COS(D243))+Val!$D$14+Val!$D$13+Val!$D$12*((1-COS(Calc!E243)))+Val!$D$15</f>
        <v>0.0023889834607282966</v>
      </c>
      <c r="J243" s="22">
        <f>Val!$D$11*((1-COS(Calc!$D243))+1/Val!$D$18*(1-(1-(Val!$D$18*SIN(Calc!$D243))^2)^0.5))+Val!$D$14+Val!$D$13+Val!$D$12*((1-COS(Calc!$E243))+1/Val!$D$19*(1-(1-(Val!$D$19*SIN(Calc!$E243))^2)^0.5))+Val!$D$15</f>
        <v>0.0024435615509060863</v>
      </c>
      <c r="K243" s="44">
        <f t="shared" si="71"/>
        <v>-5.457809017778972E-05</v>
      </c>
      <c r="L243" s="50">
        <f>Val!$D$42*Val!$D$22/Val!$D$37/(1-Val!$D$39*COS(D243-Val!$D$40))</f>
        <v>58527.73690775483</v>
      </c>
      <c r="M243" s="50">
        <f>Val!$D$42*Val!$D$22/(Val!$D$11*((1-COS(Calc!D243))+1/Val!$D$18*(1-(1-(Val!$D$18*SIN(Calc!D243))^2)^0.5))/Val!$D$25+Val!$D$14/Val!$D$25+Val!$D$13/Val!$D$27+Val!$D$12*((1-COS(Calc!E243))+1/Val!$D$19*(1-(1-(Val!$D$19*SIN(Calc!E243))^2)^0.5))/Val!$D$26+Val!$D$15/Val!$D$26)</f>
        <v>57464.36608488587</v>
      </c>
      <c r="N243" s="16">
        <f t="shared" si="60"/>
        <v>-0.16851138963052006</v>
      </c>
      <c r="O243" s="16">
        <f t="shared" si="61"/>
        <v>-0.16494524162221746</v>
      </c>
      <c r="P243" s="16">
        <f t="shared" si="62"/>
        <v>2.88099201437627E-06</v>
      </c>
      <c r="Q243" s="16">
        <f t="shared" si="63"/>
        <v>2.8716777787339554E-06</v>
      </c>
      <c r="R243" s="13">
        <f t="shared" si="56"/>
        <v>0.9704918877228882</v>
      </c>
      <c r="S243" s="13">
        <f t="shared" si="57"/>
        <v>0.9926634910996673</v>
      </c>
      <c r="T243" s="13">
        <f t="shared" si="58"/>
        <v>0.3453366504759151</v>
      </c>
      <c r="U243" s="13">
        <f t="shared" si="59"/>
        <v>0.3390623446922803</v>
      </c>
      <c r="W243" s="387">
        <f>1*(M243-Val!$D$28)*PI()/4*Val!$D$2^2*(SIN(D243)+Val!$D$18/2*SIN(2*D243)/(1-Val!$D$18^2*SIN(D243)^2)^0.5)*Val!$D$4*(D243-D242)+1*(M243-Val!$D$28)*PI()/4*Val!$D$3^2*(SIN(E243)+Val!$D$19/2*SIN(2*E243)/(1-Val!$D$19^2*SIN(E243)^2)^0.5)*Val!$D$5*(E243-E242)</f>
        <v>0.12129860108551199</v>
      </c>
    </row>
    <row r="244" spans="2:23" ht="13.5">
      <c r="B244" s="32">
        <v>239</v>
      </c>
      <c r="C244" s="32">
        <f>B244-Data!$D$10</f>
        <v>149</v>
      </c>
      <c r="D244" s="30">
        <f t="shared" si="68"/>
        <v>4.171336912266447</v>
      </c>
      <c r="E244" s="30">
        <f t="shared" si="69"/>
        <v>2.600540585471551</v>
      </c>
      <c r="F244" s="26">
        <f>Val!$D$11*(1-COS(D244))+Val!$D$12*(1-COS(E244))</f>
        <v>0.0016861024687139206</v>
      </c>
      <c r="G244" s="26">
        <f>Val!$D$11*((1-COS(Calc!D244))+1/Val!$D$18*(1-(1-(Val!$D$18*SIN(Calc!D244))^2)^0.5))+Val!$D$12*((1-COS(Calc!E244))+1/Val!$D$19*(1-(1-(Val!$D$19*SIN(Calc!E244))^2)^0.5))</f>
        <v>0.0017406898731273527</v>
      </c>
      <c r="H244" s="26">
        <f t="shared" si="70"/>
        <v>-5.4587404413432034E-05</v>
      </c>
      <c r="I244" s="22">
        <f>Val!$D$11*(1-COS(D244))+Val!$D$14+Val!$D$13+Val!$D$12*((1-COS(Calc!E244)))+Val!$D$15</f>
        <v>0.0023861024687139203</v>
      </c>
      <c r="J244" s="22">
        <f>Val!$D$11*((1-COS(Calc!$D244))+1/Val!$D$18*(1-(1-(Val!$D$18*SIN(Calc!$D244))^2)^0.5))+Val!$D$14+Val!$D$13+Val!$D$12*((1-COS(Calc!$E244))+1/Val!$D$19*(1-(1-(Val!$D$19*SIN(Calc!$E244))^2)^0.5))+Val!$D$15</f>
        <v>0.0024406898731273523</v>
      </c>
      <c r="K244" s="44">
        <f t="shared" si="71"/>
        <v>-5.4587404413432034E-05</v>
      </c>
      <c r="L244" s="50">
        <f>Val!$D$42*Val!$D$22/Val!$D$37/(1-Val!$D$39*COS(D244-Val!$D$40))</f>
        <v>58453.767233625105</v>
      </c>
      <c r="M244" s="50">
        <f>Val!$D$42*Val!$D$22/(Val!$D$11*((1-COS(Calc!D244))+1/Val!$D$18*(1-(1-(Val!$D$18*SIN(Calc!D244))^2)^0.5))/Val!$D$25+Val!$D$14/Val!$D$25+Val!$D$13/Val!$D$27+Val!$D$12*((1-COS(Calc!E244))+1/Val!$D$19*(1-(1-(Val!$D$19*SIN(Calc!E244))^2)^0.5))/Val!$D$26+Val!$D$15/Val!$D$26)</f>
        <v>57412.89684740408</v>
      </c>
      <c r="N244" s="16">
        <f t="shared" si="60"/>
        <v>-0.18051638605371015</v>
      </c>
      <c r="O244" s="16">
        <f t="shared" si="61"/>
        <v>-0.17677349055221178</v>
      </c>
      <c r="P244" s="16">
        <f t="shared" si="62"/>
        <v>3.089985512350936E-06</v>
      </c>
      <c r="Q244" s="16">
        <f t="shared" si="63"/>
        <v>3.0802218083693378E-06</v>
      </c>
      <c r="R244" s="13">
        <f t="shared" si="56"/>
        <v>0.969321524083077</v>
      </c>
      <c r="S244" s="13">
        <f t="shared" si="57"/>
        <v>0.9914969112408156</v>
      </c>
      <c r="T244" s="13">
        <f t="shared" si="58"/>
        <v>0.34490020032680013</v>
      </c>
      <c r="U244" s="13">
        <f t="shared" si="59"/>
        <v>0.338758655962567</v>
      </c>
      <c r="W244" s="387">
        <f>1*(M244-Val!$D$28)*PI()/4*Val!$D$2^2*(SIN(D244)+Val!$D$18/2*SIN(2*D244)/(1-Val!$D$18^2*SIN(D244)^2)^0.5)*Val!$D$4*(D244-D243)+1*(M244-Val!$D$28)*PI()/4*Val!$D$3^2*(SIN(E244)+Val!$D$19/2*SIN(2*E244)/(1-Val!$D$19^2*SIN(E244)^2)^0.5)*Val!$D$5*(E244-E243)</f>
        <v>0.13061212770298417</v>
      </c>
    </row>
    <row r="245" spans="2:23" ht="13.5">
      <c r="B245" s="32">
        <v>240</v>
      </c>
      <c r="C245" s="32">
        <f>B245-Data!$D$10</f>
        <v>150</v>
      </c>
      <c r="D245" s="30">
        <f t="shared" si="68"/>
        <v>4.1887902047863905</v>
      </c>
      <c r="E245" s="30">
        <f t="shared" si="69"/>
        <v>2.6179938779914944</v>
      </c>
      <c r="F245" s="26">
        <f>Val!$D$11*(1-COS(D245))+Val!$D$12*(1-COS(E245))</f>
        <v>0.0016830124832015697</v>
      </c>
      <c r="G245" s="26">
        <f>Val!$D$11*((1-COS(Calc!D245))+1/Val!$D$18*(1-(1-(Val!$D$18*SIN(Calc!D245))^2)^0.5))+Val!$D$12*((1-COS(Calc!E245))+1/Val!$D$19*(1-(1-(Val!$D$19*SIN(Calc!E245))^2)^0.5))</f>
        <v>0.0017376096513189833</v>
      </c>
      <c r="H245" s="26">
        <f t="shared" si="70"/>
        <v>-5.459716811741363E-05</v>
      </c>
      <c r="I245" s="22">
        <f>Val!$D$11*(1-COS(D245))+Val!$D$14+Val!$D$13+Val!$D$12*((1-COS(Calc!E245)))+Val!$D$15</f>
        <v>0.00238301248320157</v>
      </c>
      <c r="J245" s="22">
        <f>Val!$D$11*((1-COS(Calc!$D245))+1/Val!$D$18*(1-(1-(Val!$D$18*SIN(Calc!$D245))^2)^0.5))+Val!$D$14+Val!$D$13+Val!$D$12*((1-COS(Calc!$E245))+1/Val!$D$19*(1-(1-(Val!$D$19*SIN(Calc!$E245))^2)^0.5))+Val!$D$15</f>
        <v>0.002437609651318983</v>
      </c>
      <c r="K245" s="44">
        <f t="shared" si="71"/>
        <v>-5.45971681174132E-05</v>
      </c>
      <c r="L245" s="50">
        <f>Val!$D$42*Val!$D$22/Val!$D$37/(1-Val!$D$39*COS(D245-Val!$D$40))</f>
        <v>58385.86540037661</v>
      </c>
      <c r="M245" s="50">
        <f>Val!$D$42*Val!$D$22/(Val!$D$11*((1-COS(Calc!D245))+1/Val!$D$18*(1-(1-(Val!$D$18*SIN(Calc!D245))^2)^0.5))/Val!$D$25+Val!$D$14/Val!$D$25+Val!$D$13/Val!$D$27+Val!$D$12*((1-COS(Calc!E245))+1/Val!$D$19*(1-(1-(Val!$D$19*SIN(Calc!E245))^2)^0.5))/Val!$D$26+Val!$D$15/Val!$D$26)</f>
        <v>57366.81808864156</v>
      </c>
      <c r="N245" s="16">
        <f t="shared" si="60"/>
        <v>-0.19245678930980425</v>
      </c>
      <c r="O245" s="16">
        <f t="shared" si="61"/>
        <v>-0.18854782774077777</v>
      </c>
      <c r="P245" s="16">
        <f t="shared" si="62"/>
        <v>3.298037770806334E-06</v>
      </c>
      <c r="Q245" s="16">
        <f t="shared" si="63"/>
        <v>3.287872152614923E-06</v>
      </c>
      <c r="R245" s="13">
        <f t="shared" si="56"/>
        <v>0.9680662596904122</v>
      </c>
      <c r="S245" s="13">
        <f t="shared" si="57"/>
        <v>0.9902456132194815</v>
      </c>
      <c r="T245" s="13">
        <f t="shared" si="58"/>
        <v>0.34449955282368266</v>
      </c>
      <c r="U245" s="13">
        <f t="shared" si="59"/>
        <v>0.33848677317587705</v>
      </c>
      <c r="W245" s="387">
        <f>1*(M245-Val!$D$28)*PI()/4*Val!$D$2^2*(SIN(D245)+Val!$D$18/2*SIN(2*D245)/(1-Val!$D$18^2*SIN(D245)^2)^0.5)*Val!$D$4*(D245-D244)+1*(M245-Val!$D$28)*PI()/4*Val!$D$3^2*(SIN(E245)+Val!$D$19/2*SIN(2*E245)/(1-Val!$D$19^2*SIN(E245)^2)^0.5)*Val!$D$5*(E245-E244)</f>
        <v>0.13989208388502564</v>
      </c>
    </row>
    <row r="246" spans="2:23" ht="13.5">
      <c r="B246" s="32">
        <v>241</v>
      </c>
      <c r="C246" s="32">
        <f>B246-Data!$D$10</f>
        <v>151</v>
      </c>
      <c r="D246" s="30">
        <f t="shared" si="68"/>
        <v>4.2062434973063345</v>
      </c>
      <c r="E246" s="30">
        <f t="shared" si="69"/>
        <v>2.6354471705114375</v>
      </c>
      <c r="F246" s="26">
        <f>Val!$D$11*(1-COS(D246))+Val!$D$12*(1-COS(E246))</f>
        <v>0.0016797144454307634</v>
      </c>
      <c r="G246" s="26">
        <f>Val!$D$11*((1-COS(Calc!D246))+1/Val!$D$18*(1-(1-(Val!$D$18*SIN(Calc!D246))^2)^0.5))+Val!$D$12*((1-COS(Calc!E246))+1/Val!$D$19*(1-(1-(Val!$D$19*SIN(Calc!E246))^2)^0.5))</f>
        <v>0.0017343217791663684</v>
      </c>
      <c r="H246" s="26">
        <f t="shared" si="70"/>
        <v>-5.460733373560504E-05</v>
      </c>
      <c r="I246" s="22">
        <f>Val!$D$11*(1-COS(D246))+Val!$D$14+Val!$D$13+Val!$D$12*((1-COS(Calc!E246)))+Val!$D$15</f>
        <v>0.0023797144454307632</v>
      </c>
      <c r="J246" s="22">
        <f>Val!$D$11*((1-COS(Calc!$D246))+1/Val!$D$18*(1-(1-(Val!$D$18*SIN(Calc!$D246))^2)^0.5))+Val!$D$14+Val!$D$13+Val!$D$12*((1-COS(Calc!$E246))+1/Val!$D$19*(1-(1-(Val!$D$19*SIN(Calc!$E246))^2)^0.5))+Val!$D$15</f>
        <v>0.002434321779166368</v>
      </c>
      <c r="K246" s="44">
        <f t="shared" si="71"/>
        <v>-5.460733373560461E-05</v>
      </c>
      <c r="L246" s="50">
        <f>Val!$D$42*Val!$D$22/Val!$D$37/(1-Val!$D$39*COS(D246-Val!$D$40))</f>
        <v>58324.01040115979</v>
      </c>
      <c r="M246" s="50">
        <f>Val!$D$42*Val!$D$22/(Val!$D$11*((1-COS(Calc!D246))+1/Val!$D$18*(1-(1-(Val!$D$18*SIN(Calc!D246))^2)^0.5))/Val!$D$25+Val!$D$14/Val!$D$25+Val!$D$13/Val!$D$27+Val!$D$12*((1-COS(Calc!E246))+1/Val!$D$19*(1-(1-(Val!$D$19*SIN(Calc!E246))^2)^0.5))/Val!$D$26+Val!$D$15/Val!$D$26)</f>
        <v>57326.10121529717</v>
      </c>
      <c r="N246" s="16">
        <f t="shared" si="60"/>
        <v>-0.20433279847280358</v>
      </c>
      <c r="O246" s="16">
        <f t="shared" si="61"/>
        <v>-0.20026810232286119</v>
      </c>
      <c r="P246" s="16">
        <f t="shared" si="62"/>
        <v>3.505085415006449E-06</v>
      </c>
      <c r="Q246" s="16">
        <f t="shared" si="63"/>
        <v>3.4945673958802163E-06</v>
      </c>
      <c r="R246" s="13">
        <f t="shared" si="56"/>
        <v>0.9667264769105868</v>
      </c>
      <c r="S246" s="13">
        <f t="shared" si="57"/>
        <v>0.9889099600831428</v>
      </c>
      <c r="T246" s="13">
        <f t="shared" si="58"/>
        <v>0.3441345840178941</v>
      </c>
      <c r="U246" s="13">
        <f t="shared" si="59"/>
        <v>0.3382465276204959</v>
      </c>
      <c r="W246" s="387">
        <f>1*(M246-Val!$D$28)*PI()/4*Val!$D$2^2*(SIN(D246)+Val!$D$18/2*SIN(2*D246)/(1-Val!$D$18^2*SIN(D246)^2)^0.5)*Val!$D$4*(D246-D245)+1*(M246-Val!$D$28)*PI()/4*Val!$D$3^2*(SIN(E246)+Val!$D$19/2*SIN(2*E246)/(1-Val!$D$19^2*SIN(E246)^2)^0.5)*Val!$D$5*(E246-E245)</f>
        <v>0.14913237994991413</v>
      </c>
    </row>
    <row r="247" spans="2:23" ht="13.5">
      <c r="B247" s="32">
        <v>242</v>
      </c>
      <c r="C247" s="32">
        <f>B247-Data!$D$10</f>
        <v>152</v>
      </c>
      <c r="D247" s="30">
        <f t="shared" si="68"/>
        <v>4.223696789826278</v>
      </c>
      <c r="E247" s="30">
        <f t="shared" si="69"/>
        <v>2.652900463031381</v>
      </c>
      <c r="F247" s="26">
        <f>Val!$D$11*(1-COS(D247))+Val!$D$12*(1-COS(E247))</f>
        <v>0.001676209360015757</v>
      </c>
      <c r="G247" s="26">
        <f>Val!$D$11*((1-COS(Calc!D247))+1/Val!$D$18*(1-(1-(Val!$D$18*SIN(Calc!D247))^2)^0.5))+Val!$D$12*((1-COS(Calc!E247))+1/Val!$D$19*(1-(1-(Val!$D$19*SIN(Calc!E247))^2)^0.5))</f>
        <v>0.0017308272117704882</v>
      </c>
      <c r="H247" s="26">
        <f t="shared" si="70"/>
        <v>-5.4617851754731276E-05</v>
      </c>
      <c r="I247" s="22">
        <f>Val!$D$11*(1-COS(D247))+Val!$D$14+Val!$D$13+Val!$D$12*((1-COS(Calc!E247)))+Val!$D$15</f>
        <v>0.0023762093600157566</v>
      </c>
      <c r="J247" s="22">
        <f>Val!$D$11*((1-COS(Calc!$D247))+1/Val!$D$18*(1-(1-(Val!$D$18*SIN(Calc!$D247))^2)^0.5))+Val!$D$14+Val!$D$13+Val!$D$12*((1-COS(Calc!$E247))+1/Val!$D$19*(1-(1-(Val!$D$19*SIN(Calc!$E247))^2)^0.5))+Val!$D$15</f>
        <v>0.002430827211770488</v>
      </c>
      <c r="K247" s="44">
        <f t="shared" si="71"/>
        <v>-5.4617851754731276E-05</v>
      </c>
      <c r="L247" s="50">
        <f>Val!$D$42*Val!$D$22/Val!$D$37/(1-Val!$D$39*COS(D247-Val!$D$40))</f>
        <v>58268.18310030157</v>
      </c>
      <c r="M247" s="50">
        <f>Val!$D$42*Val!$D$22/(Val!$D$11*((1-COS(Calc!D247))+1/Val!$D$18*(1-(1-(Val!$D$18*SIN(Calc!D247))^2)^0.5))/Val!$D$25+Val!$D$14/Val!$D$25+Val!$D$13/Val!$D$27+Val!$D$12*((1-COS(Calc!E247))+1/Val!$D$19*(1-(1-(Val!$D$19*SIN(Calc!E247))^2)^0.5))/Val!$D$26+Val!$D$15/Val!$D$26)</f>
        <v>57290.719487014576</v>
      </c>
      <c r="N247" s="16">
        <f t="shared" si="60"/>
        <v>-0.21614460000346877</v>
      </c>
      <c r="O247" s="16">
        <f t="shared" si="61"/>
        <v>-0.21193413042024042</v>
      </c>
      <c r="P247" s="16">
        <f t="shared" si="62"/>
        <v>3.711065376235667E-06</v>
      </c>
      <c r="Q247" s="16">
        <f t="shared" si="63"/>
        <v>3.700246187615143E-06</v>
      </c>
      <c r="R247" s="13">
        <f t="shared" si="56"/>
        <v>0.9653025838544153</v>
      </c>
      <c r="S247" s="13">
        <f t="shared" si="57"/>
        <v>0.9874903398285226</v>
      </c>
      <c r="T247" s="13">
        <f t="shared" si="58"/>
        <v>0.3438051810014427</v>
      </c>
      <c r="U247" s="13">
        <f t="shared" si="59"/>
        <v>0.3380377615178117</v>
      </c>
      <c r="W247" s="387">
        <f>1*(M247-Val!$D$28)*PI()/4*Val!$D$2^2*(SIN(D247)+Val!$D$18/2*SIN(2*D247)/(1-Val!$D$18^2*SIN(D247)^2)^0.5)*Val!$D$4*(D247-D246)+1*(M247-Val!$D$28)*PI()/4*Val!$D$3^2*(SIN(E247)+Val!$D$19/2*SIN(2*E247)/(1-Val!$D$19^2*SIN(E247)^2)^0.5)*Val!$D$5*(E247-E246)</f>
        <v>0.15832696500839918</v>
      </c>
    </row>
    <row r="248" spans="2:23" ht="13.5">
      <c r="B248" s="32">
        <v>243</v>
      </c>
      <c r="C248" s="32">
        <f>B248-Data!$D$10</f>
        <v>153</v>
      </c>
      <c r="D248" s="30">
        <f t="shared" si="68"/>
        <v>4.241150082346221</v>
      </c>
      <c r="E248" s="30">
        <f t="shared" si="69"/>
        <v>2.670353755551324</v>
      </c>
      <c r="F248" s="26">
        <f>Val!$D$11*(1-COS(D248))+Val!$D$12*(1-COS(E248))</f>
        <v>0.0016724982946395212</v>
      </c>
      <c r="G248" s="26">
        <f>Val!$D$11*((1-COS(Calc!D248))+1/Val!$D$18*(1-(1-(Val!$D$18*SIN(Calc!D248))^2)^0.5))+Val!$D$12*((1-COS(Calc!E248))+1/Val!$D$19*(1-(1-(Val!$D$19*SIN(Calc!E248))^2)^0.5))</f>
        <v>0.001727126965582873</v>
      </c>
      <c r="H248" s="26">
        <f t="shared" si="70"/>
        <v>-5.46286709433518E-05</v>
      </c>
      <c r="I248" s="22">
        <f>Val!$D$11*(1-COS(D248))+Val!$D$14+Val!$D$13+Val!$D$12*((1-COS(Calc!E248)))+Val!$D$15</f>
        <v>0.002372498294639521</v>
      </c>
      <c r="J248" s="22">
        <f>Val!$D$11*((1-COS(Calc!$D248))+1/Val!$D$18*(1-(1-(Val!$D$18*SIN(Calc!$D248))^2)^0.5))+Val!$D$14+Val!$D$13+Val!$D$12*((1-COS(Calc!$E248))+1/Val!$D$19*(1-(1-(Val!$D$19*SIN(Calc!$E248))^2)^0.5))+Val!$D$15</f>
        <v>0.0024271269655828727</v>
      </c>
      <c r="K248" s="44">
        <f t="shared" si="71"/>
        <v>-5.46286709433518E-05</v>
      </c>
      <c r="L248" s="50">
        <f>Val!$D$42*Val!$D$22/Val!$D$37/(1-Val!$D$39*COS(D248-Val!$D$40))</f>
        <v>58218.3662273289</v>
      </c>
      <c r="M248" s="50">
        <f>Val!$D$42*Val!$D$22/(Val!$D$11*((1-COS(Calc!D248))+1/Val!$D$18*(1-(1-(Val!$D$18*SIN(Calc!D248))^2)^0.5))/Val!$D$25+Val!$D$14/Val!$D$25+Val!$D$13/Val!$D$27+Val!$D$12*((1-COS(Calc!E248))+1/Val!$D$19*(1-(1-(Val!$D$19*SIN(Calc!E248))^2)^0.5))/Val!$D$26+Val!$D$15/Val!$D$26)</f>
        <v>57260.64800285221</v>
      </c>
      <c r="N248" s="16">
        <f t="shared" si="60"/>
        <v>-0.22789236707445046</v>
      </c>
      <c r="O248" s="16">
        <f t="shared" si="61"/>
        <v>-0.22354569458457044</v>
      </c>
      <c r="P248" s="16">
        <f t="shared" si="62"/>
        <v>3.915914911001078E-06</v>
      </c>
      <c r="Q248" s="16">
        <f t="shared" si="63"/>
        <v>3.904847253118245E-06</v>
      </c>
      <c r="R248" s="13">
        <f t="shared" si="56"/>
        <v>0.9637950142535155</v>
      </c>
      <c r="S248" s="13">
        <f t="shared" si="57"/>
        <v>0.9859871653751661</v>
      </c>
      <c r="T248" s="13">
        <f t="shared" si="58"/>
        <v>0.34351124187174975</v>
      </c>
      <c r="U248" s="13">
        <f t="shared" si="59"/>
        <v>0.3378603279424825</v>
      </c>
      <c r="W248" s="387">
        <f>1*(M248-Val!$D$28)*PI()/4*Val!$D$2^2*(SIN(D248)+Val!$D$18/2*SIN(2*D248)/(1-Val!$D$18^2*SIN(D248)^2)^0.5)*Val!$D$4*(D248-D247)+1*(M248-Val!$D$28)*PI()/4*Val!$D$3^2*(SIN(E248)+Val!$D$19/2*SIN(2*E248)/(1-Val!$D$19^2*SIN(E248)^2)^0.5)*Val!$D$5*(E248-E247)</f>
        <v>0.16746982858876489</v>
      </c>
    </row>
    <row r="249" spans="2:23" ht="13.5">
      <c r="B249" s="32">
        <v>244</v>
      </c>
      <c r="C249" s="32">
        <f>B249-Data!$D$10</f>
        <v>154</v>
      </c>
      <c r="D249" s="30">
        <f t="shared" si="68"/>
        <v>4.258603374866164</v>
      </c>
      <c r="E249" s="30">
        <f t="shared" si="69"/>
        <v>2.6878070480712677</v>
      </c>
      <c r="F249" s="26">
        <f>Val!$D$11*(1-COS(D249))+Val!$D$12*(1-COS(E249))</f>
        <v>0.0016685823797285202</v>
      </c>
      <c r="G249" s="26">
        <f>Val!$D$11*((1-COS(Calc!D249))+1/Val!$D$18*(1-(1-(Val!$D$18*SIN(Calc!D249))^2)^0.5))+Val!$D$12*((1-COS(Calc!E249))+1/Val!$D$19*(1-(1-(Val!$D$19*SIN(Calc!E249))^2)^0.5))</f>
        <v>0.0017232221183297548</v>
      </c>
      <c r="H249" s="26">
        <f t="shared" si="70"/>
        <v>-5.4639738601234633E-05</v>
      </c>
      <c r="I249" s="22">
        <f>Val!$D$11*(1-COS(D249))+Val!$D$14+Val!$D$13+Val!$D$12*((1-COS(Calc!E249)))+Val!$D$15</f>
        <v>0.00236858237972852</v>
      </c>
      <c r="J249" s="22">
        <f>Val!$D$11*((1-COS(Calc!$D249))+1/Val!$D$18*(1-(1-(Val!$D$18*SIN(Calc!$D249))^2)^0.5))+Val!$D$14+Val!$D$13+Val!$D$12*((1-COS(Calc!$E249))+1/Val!$D$19*(1-(1-(Val!$D$19*SIN(Calc!$E249))^2)^0.5))+Val!$D$15</f>
        <v>0.0024232221183297545</v>
      </c>
      <c r="K249" s="44">
        <f t="shared" si="71"/>
        <v>-5.463973860123442E-05</v>
      </c>
      <c r="L249" s="50">
        <f>Val!$D$42*Val!$D$22/Val!$D$37/(1-Val!$D$39*COS(D249-Val!$D$40))</f>
        <v>58174.54437154001</v>
      </c>
      <c r="M249" s="50">
        <f>Val!$D$42*Val!$D$22/(Val!$D$11*((1-COS(Calc!D249))+1/Val!$D$18*(1-(1-(Val!$D$18*SIN(Calc!D249))^2)^0.5))/Val!$D$25+Val!$D$14/Val!$D$25+Val!$D$13/Val!$D$27+Val!$D$12*((1-COS(Calc!E249))+1/Val!$D$19*(1-(1-(Val!$D$19*SIN(Calc!E249))^2)^0.5))/Val!$D$26+Val!$D$15/Val!$D$26)</f>
        <v>57235.863688383026</v>
      </c>
      <c r="N249" s="16">
        <f t="shared" si="60"/>
        <v>-0.2395762589007554</v>
      </c>
      <c r="O249" s="16">
        <f t="shared" si="61"/>
        <v>-0.23510254329783203</v>
      </c>
      <c r="P249" s="16">
        <f t="shared" si="62"/>
        <v>4.119571620150647E-06</v>
      </c>
      <c r="Q249" s="16">
        <f t="shared" si="63"/>
        <v>4.108309405468974E-06</v>
      </c>
      <c r="R249" s="13">
        <f t="shared" si="56"/>
        <v>0.9622042273281926</v>
      </c>
      <c r="S249" s="13">
        <f t="shared" si="57"/>
        <v>0.9844008745346289</v>
      </c>
      <c r="T249" s="13">
        <f t="shared" si="58"/>
        <v>0.3432526756996179</v>
      </c>
      <c r="U249" s="13">
        <f t="shared" si="59"/>
        <v>0.3377140907463199</v>
      </c>
      <c r="W249" s="387">
        <f>1*(M249-Val!$D$28)*PI()/4*Val!$D$2^2*(SIN(D249)+Val!$D$18/2*SIN(2*D249)/(1-Val!$D$18^2*SIN(D249)^2)^0.5)*Val!$D$4*(D249-D248)+1*(M249-Val!$D$28)*PI()/4*Val!$D$3^2*(SIN(E249)+Val!$D$19/2*SIN(2*E249)/(1-Val!$D$19^2*SIN(E249)^2)^0.5)*Val!$D$5*(E249-E248)</f>
        <v>0.17655500231619195</v>
      </c>
    </row>
    <row r="250" spans="2:23" ht="13.5">
      <c r="B250" s="32">
        <v>245</v>
      </c>
      <c r="C250" s="32">
        <f>B250-Data!$D$10</f>
        <v>155</v>
      </c>
      <c r="D250" s="30">
        <f t="shared" si="68"/>
        <v>4.276056667386108</v>
      </c>
      <c r="E250" s="30">
        <f t="shared" si="69"/>
        <v>2.705260340591211</v>
      </c>
      <c r="F250" s="26">
        <f>Val!$D$11*(1-COS(D250))+Val!$D$12*(1-COS(E250))</f>
        <v>0.0016644628081083695</v>
      </c>
      <c r="G250" s="26">
        <f>Val!$D$11*((1-COS(Calc!D250))+1/Val!$D$18*(1-(1-(Val!$D$18*SIN(Calc!D250))^2)^0.5))+Val!$D$12*((1-COS(Calc!E250))+1/Val!$D$19*(1-(1-(Val!$D$19*SIN(Calc!E250))^2)^0.5))</f>
        <v>0.0017191138089242858</v>
      </c>
      <c r="H250" s="26">
        <f t="shared" si="70"/>
        <v>-5.465100081591631E-05</v>
      </c>
      <c r="I250" s="22">
        <f>Val!$D$11*(1-COS(D250))+Val!$D$14+Val!$D$13+Val!$D$12*((1-COS(Calc!E250)))+Val!$D$15</f>
        <v>0.002364462808108369</v>
      </c>
      <c r="J250" s="22">
        <f>Val!$D$11*((1-COS(Calc!$D250))+1/Val!$D$18*(1-(1-(Val!$D$18*SIN(Calc!$D250))^2)^0.5))+Val!$D$14+Val!$D$13+Val!$D$12*((1-COS(Calc!$E250))+1/Val!$D$19*(1-(1-(Val!$D$19*SIN(Calc!$E250))^2)^0.5))+Val!$D$15</f>
        <v>0.0024191138089242853</v>
      </c>
      <c r="K250" s="44">
        <f t="shared" si="71"/>
        <v>-5.465100081591609E-05</v>
      </c>
      <c r="L250" s="50">
        <f>Val!$D$42*Val!$D$22/Val!$D$37/(1-Val!$D$39*COS(D250-Val!$D$40))</f>
        <v>58136.70397713264</v>
      </c>
      <c r="M250" s="50">
        <f>Val!$D$42*Val!$D$22/(Val!$D$11*((1-COS(Calc!D250))+1/Val!$D$18*(1-(1-(Val!$D$18*SIN(Calc!D250))^2)^0.5))/Val!$D$25+Val!$D$14/Val!$D$25+Val!$D$13/Val!$D$27+Val!$D$12*((1-COS(Calc!E250))+1/Val!$D$19*(1-(1-(Val!$D$19*SIN(Calc!E250))^2)^0.5))/Val!$D$26+Val!$D$15/Val!$D$26)</f>
        <v>57216.34528343959</v>
      </c>
      <c r="N250" s="16">
        <f t="shared" si="60"/>
        <v>-0.2511964200725514</v>
      </c>
      <c r="O250" s="16">
        <f t="shared" si="61"/>
        <v>-0.24660439052810765</v>
      </c>
      <c r="P250" s="16">
        <f t="shared" si="62"/>
        <v>4.321973467876893E-06</v>
      </c>
      <c r="Q250" s="16">
        <f t="shared" si="63"/>
        <v>4.310571558590812E-06</v>
      </c>
      <c r="R250" s="13">
        <f t="shared" si="56"/>
        <v>0.9605307076475535</v>
      </c>
      <c r="S250" s="13">
        <f t="shared" si="57"/>
        <v>0.9827319299748167</v>
      </c>
      <c r="T250" s="13">
        <f t="shared" si="58"/>
        <v>0.3430294025004863</v>
      </c>
      <c r="U250" s="13">
        <f t="shared" si="59"/>
        <v>0.33759892448598045</v>
      </c>
      <c r="W250" s="387">
        <f>1*(M250-Val!$D$28)*PI()/4*Val!$D$2^2*(SIN(D250)+Val!$D$18/2*SIN(2*D250)/(1-Val!$D$18^2*SIN(D250)^2)^0.5)*Val!$D$4*(D250-D249)+1*(M250-Val!$D$28)*PI()/4*Val!$D$3^2*(SIN(E250)+Val!$D$19/2*SIN(2*E250)/(1-Val!$D$19^2*SIN(E250)^2)^0.5)*Val!$D$5*(E250-E249)</f>
        <v>0.18557656165040276</v>
      </c>
    </row>
    <row r="251" spans="2:23" ht="13.5">
      <c r="B251" s="32">
        <v>246</v>
      </c>
      <c r="C251" s="32">
        <f>B251-Data!$D$10</f>
        <v>156</v>
      </c>
      <c r="D251" s="30">
        <f t="shared" si="68"/>
        <v>4.293509959906051</v>
      </c>
      <c r="E251" s="30">
        <f t="shared" si="69"/>
        <v>2.722713633111154</v>
      </c>
      <c r="F251" s="26">
        <f>Val!$D$11*(1-COS(D251))+Val!$D$12*(1-COS(E251))</f>
        <v>0.0016601408346404926</v>
      </c>
      <c r="G251" s="26">
        <f>Val!$D$11*((1-COS(Calc!D251))+1/Val!$D$18*(1-(1-(Val!$D$18*SIN(Calc!D251))^2)^0.5))+Val!$D$12*((1-COS(Calc!E251))+1/Val!$D$19*(1-(1-(Val!$D$19*SIN(Calc!E251))^2)^0.5))</f>
        <v>0.001714803237365695</v>
      </c>
      <c r="H251" s="26">
        <f t="shared" si="70"/>
        <v>-5.466240272520239E-05</v>
      </c>
      <c r="I251" s="22">
        <f>Val!$D$11*(1-COS(D251))+Val!$D$14+Val!$D$13+Val!$D$12*((1-COS(Calc!E251)))+Val!$D$15</f>
        <v>0.0023601408346404923</v>
      </c>
      <c r="J251" s="22">
        <f>Val!$D$11*((1-COS(Calc!$D251))+1/Val!$D$18*(1-(1-(Val!$D$18*SIN(Calc!$D251))^2)^0.5))+Val!$D$14+Val!$D$13+Val!$D$12*((1-COS(Calc!$E251))+1/Val!$D$19*(1-(1-(Val!$D$19*SIN(Calc!$E251))^2)^0.5))+Val!$D$15</f>
        <v>0.002414803237365695</v>
      </c>
      <c r="K251" s="44">
        <f t="shared" si="71"/>
        <v>-5.4662402725202605E-05</v>
      </c>
      <c r="L251" s="50">
        <f>Val!$D$42*Val!$D$22/Val!$D$37/(1-Val!$D$39*COS(D251-Val!$D$40))</f>
        <v>58104.833338897195</v>
      </c>
      <c r="M251" s="50">
        <f>Val!$D$42*Val!$D$22/(Val!$D$11*((1-COS(Calc!D251))+1/Val!$D$18*(1-(1-(Val!$D$18*SIN(Calc!D251))^2)^0.5))/Val!$D$25+Val!$D$14/Val!$D$25+Val!$D$13/Val!$D$27+Val!$D$12*((1-COS(Calc!E251))+1/Val!$D$19*(1-(1-(Val!$D$19*SIN(Calc!E251))^2)^0.5))/Val!$D$26+Val!$D$15/Val!$D$26)</f>
        <v>57202.073330518426</v>
      </c>
      <c r="N251" s="16">
        <f t="shared" si="60"/>
        <v>-0.26275297989064494</v>
      </c>
      <c r="O251" s="16">
        <f t="shared" si="61"/>
        <v>-0.25805091534265784</v>
      </c>
      <c r="P251" s="16">
        <f t="shared" si="62"/>
        <v>4.52305880061692E-06</v>
      </c>
      <c r="Q251" s="16">
        <f t="shared" si="63"/>
        <v>4.511572741491181E-06</v>
      </c>
      <c r="R251" s="13">
        <f t="shared" si="56"/>
        <v>0.9587749649819056</v>
      </c>
      <c r="S251" s="13">
        <f t="shared" si="57"/>
        <v>0.9809808191790201</v>
      </c>
      <c r="T251" s="13">
        <f t="shared" si="58"/>
        <v>0.3428413532090178</v>
      </c>
      <c r="U251" s="13">
        <f t="shared" si="59"/>
        <v>0.3375147143545463</v>
      </c>
      <c r="W251" s="387">
        <f>1*(M251-Val!$D$28)*PI()/4*Val!$D$2^2*(SIN(D251)+Val!$D$18/2*SIN(2*D251)/(1-Val!$D$18^2*SIN(D251)^2)^0.5)*Val!$D$4*(D251-D250)+1*(M251-Val!$D$28)*PI()/4*Val!$D$3^2*(SIN(E251)+Val!$D$19/2*SIN(2*E251)/(1-Val!$D$19^2*SIN(E251)^2)^0.5)*Val!$D$5*(E251-E250)</f>
        <v>0.19452862768366466</v>
      </c>
    </row>
    <row r="252" spans="2:23" ht="13.5">
      <c r="B252" s="32">
        <v>247</v>
      </c>
      <c r="C252" s="32">
        <f>B252-Data!$D$10</f>
        <v>157</v>
      </c>
      <c r="D252" s="30">
        <f t="shared" si="68"/>
        <v>4.310963252425994</v>
      </c>
      <c r="E252" s="30">
        <f t="shared" si="69"/>
        <v>2.7401669256310974</v>
      </c>
      <c r="F252" s="26">
        <f>Val!$D$11*(1-COS(D252))+Val!$D$12*(1-COS(E252))</f>
        <v>0.0016556177758398757</v>
      </c>
      <c r="G252" s="26">
        <f>Val!$D$11*((1-COS(Calc!D252))+1/Val!$D$18*(1-(1-(Val!$D$18*SIN(Calc!D252))^2)^0.5))+Val!$D$12*((1-COS(Calc!E252))+1/Val!$D$19*(1-(1-(Val!$D$19*SIN(Calc!E252))^2)^0.5))</f>
        <v>0.0017102916646242038</v>
      </c>
      <c r="H252" s="26">
        <f t="shared" si="70"/>
        <v>-5.467388878432813E-05</v>
      </c>
      <c r="I252" s="22">
        <f>Val!$D$11*(1-COS(D252))+Val!$D$14+Val!$D$13+Val!$D$12*((1-COS(Calc!E252)))+Val!$D$15</f>
        <v>0.0023556177758398754</v>
      </c>
      <c r="J252" s="22">
        <f>Val!$D$11*((1-COS(Calc!$D252))+1/Val!$D$18*(1-(1-(Val!$D$18*SIN(Calc!$D252))^2)^0.5))+Val!$D$14+Val!$D$13+Val!$D$12*((1-COS(Calc!$E252))+1/Val!$D$19*(1-(1-(Val!$D$19*SIN(Calc!$E252))^2)^0.5))+Val!$D$15</f>
        <v>0.0024102916646242035</v>
      </c>
      <c r="K252" s="44">
        <f t="shared" si="71"/>
        <v>-5.467388878432813E-05</v>
      </c>
      <c r="L252" s="50">
        <f>Val!$D$42*Val!$D$22/Val!$D$37/(1-Val!$D$39*COS(D252-Val!$D$40))</f>
        <v>58078.92259848168</v>
      </c>
      <c r="M252" s="50">
        <f>Val!$D$42*Val!$D$22/(Val!$D$11*((1-COS(Calc!D252))+1/Val!$D$18*(1-(1-(Val!$D$18*SIN(Calc!D252))^2)^0.5))/Val!$D$25+Val!$D$14/Val!$D$25+Val!$D$13/Val!$D$27+Val!$D$12*((1-COS(Calc!E252))+1/Val!$D$19*(1-(1-(Val!$D$19*SIN(Calc!E252))^2)^0.5))/Val!$D$26+Val!$D$15/Val!$D$26)</f>
        <v>57193.03016385792</v>
      </c>
      <c r="N252" s="16">
        <f t="shared" si="60"/>
        <v>-0.27424605170195815</v>
      </c>
      <c r="O252" s="16">
        <f t="shared" si="61"/>
        <v>-0.2694417615755345</v>
      </c>
      <c r="P252" s="16">
        <f t="shared" si="62"/>
        <v>4.722766365831011E-06</v>
      </c>
      <c r="Q252" s="16">
        <f t="shared" si="63"/>
        <v>4.711252113671644E-06</v>
      </c>
      <c r="R252" s="13">
        <f t="shared" si="56"/>
        <v>0.9569375341474727</v>
      </c>
      <c r="S252" s="13">
        <f t="shared" si="57"/>
        <v>0.9791480543991609</v>
      </c>
      <c r="T252" s="13">
        <f t="shared" si="58"/>
        <v>0.3426884696570611</v>
      </c>
      <c r="U252" s="13">
        <f t="shared" si="59"/>
        <v>0.33746135611708095</v>
      </c>
      <c r="W252" s="387">
        <f>1*(M252-Val!$D$28)*PI()/4*Val!$D$2^2*(SIN(D252)+Val!$D$18/2*SIN(2*D252)/(1-Val!$D$18^2*SIN(D252)^2)^0.5)*Val!$D$4*(D252-D251)+1*(M252-Val!$D$28)*PI()/4*Val!$D$3^2*(SIN(E252)+Val!$D$19/2*SIN(2*E252)/(1-Val!$D$19^2*SIN(E252)^2)^0.5)*Val!$D$5*(E252-E251)</f>
        <v>0.20340536900205747</v>
      </c>
    </row>
    <row r="253" spans="2:23" ht="13.5">
      <c r="B253" s="32">
        <v>248</v>
      </c>
      <c r="C253" s="32">
        <f>B253-Data!$D$10</f>
        <v>158</v>
      </c>
      <c r="D253" s="30">
        <f t="shared" si="68"/>
        <v>4.328416544945937</v>
      </c>
      <c r="E253" s="30">
        <f t="shared" si="69"/>
        <v>2.7576202181510405</v>
      </c>
      <c r="F253" s="26">
        <f>Val!$D$11*(1-COS(D253))+Val!$D$12*(1-COS(E253))</f>
        <v>0.0016508950094740447</v>
      </c>
      <c r="G253" s="26">
        <f>Val!$D$11*((1-COS(Calc!D253))+1/Val!$D$18*(1-(1-(Val!$D$18*SIN(Calc!D253))^2)^0.5))+Val!$D$12*((1-COS(Calc!E253))+1/Val!$D$19*(1-(1-(Val!$D$19*SIN(Calc!E253))^2)^0.5))</f>
        <v>0.0017055804125105322</v>
      </c>
      <c r="H253" s="26">
        <f t="shared" si="70"/>
        <v>-5.4685403036487494E-05</v>
      </c>
      <c r="I253" s="22">
        <f>Val!$D$11*(1-COS(D253))+Val!$D$14+Val!$D$13+Val!$D$12*((1-COS(Calc!E253)))+Val!$D$15</f>
        <v>0.0023508950094740444</v>
      </c>
      <c r="J253" s="22">
        <f>Val!$D$11*((1-COS(Calc!$D253))+1/Val!$D$18*(1-(1-(Val!$D$18*SIN(Calc!$D253))^2)^0.5))+Val!$D$14+Val!$D$13+Val!$D$12*((1-COS(Calc!$E253))+1/Val!$D$19*(1-(1-(Val!$D$19*SIN(Calc!$E253))^2)^0.5))+Val!$D$15</f>
        <v>0.002405580412510532</v>
      </c>
      <c r="K253" s="44">
        <f t="shared" si="71"/>
        <v>-5.4685403036487494E-05</v>
      </c>
      <c r="L253" s="50">
        <f>Val!$D$42*Val!$D$22/Val!$D$37/(1-Val!$D$39*COS(D253-Val!$D$40))</f>
        <v>58058.963741234475</v>
      </c>
      <c r="M253" s="50">
        <f>Val!$D$42*Val!$D$22/(Val!$D$11*((1-COS(Calc!D253))+1/Val!$D$18*(1-(1-(Val!$D$18*SIN(Calc!D253))^2)^0.5))/Val!$D$25+Val!$D$14/Val!$D$25+Val!$D$13/Val!$D$27+Val!$D$12*((1-COS(Calc!E253))+1/Val!$D$19*(1-(1-(Val!$D$19*SIN(Calc!E253))^2)^0.5))/Val!$D$26+Val!$D$15/Val!$D$26)</f>
        <v>57189.199899202365</v>
      </c>
      <c r="N253" s="16">
        <f t="shared" si="60"/>
        <v>-0.28567573223484516</v>
      </c>
      <c r="O253" s="16">
        <f t="shared" si="61"/>
        <v>-0.28077653755213244</v>
      </c>
      <c r="P253" s="16">
        <f t="shared" si="62"/>
        <v>4.921035330659367E-06</v>
      </c>
      <c r="Q253" s="16">
        <f t="shared" si="63"/>
        <v>4.9095489817411325E-06</v>
      </c>
      <c r="R253" s="13">
        <f t="shared" si="56"/>
        <v>0.9550189748434865</v>
      </c>
      <c r="S253" s="13">
        <f t="shared" si="57"/>
        <v>0.977234172602783</v>
      </c>
      <c r="T253" s="13">
        <f t="shared" si="58"/>
        <v>0.3425707045550217</v>
      </c>
      <c r="U253" s="13">
        <f t="shared" si="59"/>
        <v>0.33743875605023277</v>
      </c>
      <c r="W253" s="387">
        <f>1*(M253-Val!$D$28)*PI()/4*Val!$D$2^2*(SIN(D253)+Val!$D$18/2*SIN(2*D253)/(1-Val!$D$18^2*SIN(D253)^2)^0.5)*Val!$D$4*(D253-D252)+1*(M253-Val!$D$28)*PI()/4*Val!$D$3^2*(SIN(E253)+Val!$D$19/2*SIN(2*E253)/(1-Val!$D$19^2*SIN(E253)^2)^0.5)*Val!$D$5*(E253-E252)</f>
        <v>0.2122010036110946</v>
      </c>
    </row>
    <row r="254" spans="2:23" ht="13.5">
      <c r="B254" s="32">
        <v>249</v>
      </c>
      <c r="C254" s="32">
        <f>B254-Data!$D$10</f>
        <v>159</v>
      </c>
      <c r="D254" s="30">
        <f t="shared" si="68"/>
        <v>4.34586983746588</v>
      </c>
      <c r="E254" s="30">
        <f t="shared" si="69"/>
        <v>2.775073510670984</v>
      </c>
      <c r="F254" s="26">
        <f>Val!$D$11*(1-COS(D254))+Val!$D$12*(1-COS(E254))</f>
        <v>0.0016459739741433853</v>
      </c>
      <c r="G254" s="26">
        <f>Val!$D$11*((1-COS(Calc!D254))+1/Val!$D$18*(1-(1-(Val!$D$18*SIN(Calc!D254))^2)^0.5))+Val!$D$12*((1-COS(Calc!E254))+1/Val!$D$19*(1-(1-(Val!$D$19*SIN(Calc!E254))^2)^0.5))</f>
        <v>0.001700670863528791</v>
      </c>
      <c r="H254" s="26">
        <f t="shared" si="70"/>
        <v>-5.469688938540573E-05</v>
      </c>
      <c r="I254" s="22">
        <f>Val!$D$11*(1-COS(D254))+Val!$D$14+Val!$D$13+Val!$D$12*((1-COS(Calc!E254)))+Val!$D$15</f>
        <v>0.002345973974143385</v>
      </c>
      <c r="J254" s="22">
        <f>Val!$D$11*((1-COS(Calc!$D254))+1/Val!$D$18*(1-(1-(Val!$D$18*SIN(Calc!$D254))^2)^0.5))+Val!$D$14+Val!$D$13+Val!$D$12*((1-COS(Calc!$E254))+1/Val!$D$19*(1-(1-(Val!$D$19*SIN(Calc!$E254))^2)^0.5))+Val!$D$15</f>
        <v>0.0024006708635287907</v>
      </c>
      <c r="K254" s="44">
        <f t="shared" si="71"/>
        <v>-5.469688938540551E-05</v>
      </c>
      <c r="L254" s="50">
        <f>Val!$D$42*Val!$D$22/Val!$D$37/(1-Val!$D$39*COS(D254-Val!$D$40))</f>
        <v>58044.950593629765</v>
      </c>
      <c r="M254" s="50">
        <f>Val!$D$42*Val!$D$22/(Val!$D$11*((1-COS(Calc!D254))+1/Val!$D$18*(1-(1-(Val!$D$18*SIN(Calc!D254))^2)^0.5))/Val!$D$25+Val!$D$14/Val!$D$25+Val!$D$13/Val!$D$27+Val!$D$12*((1-COS(Calc!E254))+1/Val!$D$19*(1-(1-(Val!$D$19*SIN(Calc!E254))^2)^0.5))/Val!$D$26+Val!$D$15/Val!$D$26)</f>
        <v>57190.5684242648</v>
      </c>
      <c r="N254" s="16">
        <f t="shared" si="60"/>
        <v>-0.29704210093306976</v>
      </c>
      <c r="O254" s="16">
        <f t="shared" si="61"/>
        <v>-0.2920548158678748</v>
      </c>
      <c r="P254" s="16">
        <f t="shared" si="62"/>
        <v>5.117805300455238E-06</v>
      </c>
      <c r="Q254" s="16">
        <f t="shared" si="63"/>
        <v>5.1064028172252696E-06</v>
      </c>
      <c r="R254" s="13">
        <f t="shared" si="56"/>
        <v>0.9530198714816965</v>
      </c>
      <c r="S254" s="13">
        <f t="shared" si="57"/>
        <v>0.9752397354132909</v>
      </c>
      <c r="T254" s="13">
        <f t="shared" si="58"/>
        <v>0.34248802147667096</v>
      </c>
      <c r="U254" s="13">
        <f t="shared" si="59"/>
        <v>0.33744683088596233</v>
      </c>
      <c r="W254" s="387">
        <f>1*(M254-Val!$D$28)*PI()/4*Val!$D$2^2*(SIN(D254)+Val!$D$18/2*SIN(2*D254)/(1-Val!$D$18^2*SIN(D254)^2)^0.5)*Val!$D$4*(D254-D253)+1*(M254-Val!$D$28)*PI()/4*Val!$D$3^2*(SIN(E254)+Val!$D$19/2*SIN(2*E254)/(1-Val!$D$19^2*SIN(E254)^2)^0.5)*Val!$D$5*(E254-E253)</f>
        <v>0.22090980092757884</v>
      </c>
    </row>
    <row r="255" spans="2:23" ht="13.5">
      <c r="B255" s="32">
        <v>250</v>
      </c>
      <c r="C255" s="32">
        <f>B255-Data!$D$10</f>
        <v>160</v>
      </c>
      <c r="D255" s="30">
        <f t="shared" si="68"/>
        <v>4.363323129985824</v>
      </c>
      <c r="E255" s="30">
        <f t="shared" si="69"/>
        <v>2.792526803190927</v>
      </c>
      <c r="F255" s="26">
        <f>Val!$D$11*(1-COS(D255))+Val!$D$12*(1-COS(E255))</f>
        <v>0.00164085616884293</v>
      </c>
      <c r="G255" s="26">
        <f>Val!$D$11*((1-COS(Calc!D255))+1/Val!$D$18*(1-(1-(Val!$D$18*SIN(Calc!D255))^2)^0.5))+Val!$D$12*((1-COS(Calc!E255))+1/Val!$D$19*(1-(1-(Val!$D$19*SIN(Calc!E255))^2)^0.5))</f>
        <v>0.0016955644607115658</v>
      </c>
      <c r="H255" s="26">
        <f t="shared" si="70"/>
        <v>-5.47082918686357E-05</v>
      </c>
      <c r="I255" s="22">
        <f>Val!$D$11*(1-COS(D255))+Val!$D$14+Val!$D$13+Val!$D$12*((1-COS(Calc!E255)))+Val!$D$15</f>
        <v>0.00234085616884293</v>
      </c>
      <c r="J255" s="22">
        <f>Val!$D$11*((1-COS(Calc!$D255))+1/Val!$D$18*(1-(1-(Val!$D$18*SIN(Calc!$D255))^2)^0.5))+Val!$D$14+Val!$D$13+Val!$D$12*((1-COS(Calc!$E255))+1/Val!$D$19*(1-(1-(Val!$D$19*SIN(Calc!$E255))^2)^0.5))+Val!$D$15</f>
        <v>0.0023955644607115655</v>
      </c>
      <c r="K255" s="44">
        <f t="shared" si="71"/>
        <v>-5.4708291868635264E-05</v>
      </c>
      <c r="L255" s="50">
        <f>Val!$D$42*Val!$D$22/Val!$D$37/(1-Val!$D$39*COS(D255-Val!$D$40))</f>
        <v>58036.87882127974</v>
      </c>
      <c r="M255" s="50">
        <f>Val!$D$42*Val!$D$22/(Val!$D$11*((1-COS(Calc!D255))+1/Val!$D$18*(1-(1-(Val!$D$18*SIN(Calc!D255))^2)^0.5))/Val!$D$25+Val!$D$14/Val!$D$25+Val!$D$13/Val!$D$27+Val!$D$12*((1-COS(Calc!E255))+1/Val!$D$19*(1-(1-(Val!$D$19*SIN(Calc!E255))^2)^0.5))/Val!$D$26+Val!$D$15/Val!$D$26)</f>
        <v>57197.12338990051</v>
      </c>
      <c r="N255" s="16">
        <f t="shared" si="60"/>
        <v>-0.3083452192866767</v>
      </c>
      <c r="O255" s="16">
        <f t="shared" si="61"/>
        <v>-0.30327613322143177</v>
      </c>
      <c r="P255" s="16">
        <f t="shared" si="62"/>
        <v>5.3130163371782006E-06</v>
      </c>
      <c r="Q255" s="16">
        <f t="shared" si="63"/>
        <v>5.301753275572217E-06</v>
      </c>
      <c r="R255" s="13">
        <f t="shared" si="56"/>
        <v>0.9509408330083525</v>
      </c>
      <c r="S255" s="13">
        <f t="shared" si="57"/>
        <v>0.9731653290429548</v>
      </c>
      <c r="T255" s="13">
        <f t="shared" si="58"/>
        <v>0.3424403948474173</v>
      </c>
      <c r="U255" s="13">
        <f t="shared" si="59"/>
        <v>0.33748550775946234</v>
      </c>
      <c r="W255" s="387">
        <f>1*(M255-Val!$D$28)*PI()/4*Val!$D$2^2*(SIN(D255)+Val!$D$18/2*SIN(2*D255)/(1-Val!$D$18^2*SIN(D255)^2)^0.5)*Val!$D$4*(D255-D254)+1*(M255-Val!$D$28)*PI()/4*Val!$D$3^2*(SIN(E255)+Val!$D$19/2*SIN(2*E255)/(1-Val!$D$19^2*SIN(E255)^2)^0.5)*Val!$D$5*(E255-E254)</f>
        <v>0.2295260838383011</v>
      </c>
    </row>
    <row r="256" spans="2:23" ht="13.5">
      <c r="B256" s="32">
        <v>251</v>
      </c>
      <c r="C256" s="32">
        <f>B256-Data!$D$10</f>
        <v>161</v>
      </c>
      <c r="D256" s="30">
        <f t="shared" si="68"/>
        <v>4.380776422505767</v>
      </c>
      <c r="E256" s="30">
        <f t="shared" si="69"/>
        <v>2.8099800957108707</v>
      </c>
      <c r="F256" s="26">
        <f>Val!$D$11*(1-COS(D256))+Val!$D$12*(1-COS(E256))</f>
        <v>0.0016355431525057519</v>
      </c>
      <c r="G256" s="26">
        <f>Val!$D$11*((1-COS(Calc!D256))+1/Val!$D$18*(1-(1-(Val!$D$18*SIN(Calc!D256))^2)^0.5))+Val!$D$12*((1-COS(Calc!E256))+1/Val!$D$19*(1-(1-(Val!$D$19*SIN(Calc!E256))^2)^0.5))</f>
        <v>0.0016902627074359936</v>
      </c>
      <c r="H256" s="26">
        <f t="shared" si="70"/>
        <v>-5.471955493024168E-05</v>
      </c>
      <c r="I256" s="22">
        <f>Val!$D$11*(1-COS(D256))+Val!$D$14+Val!$D$13+Val!$D$12*((1-COS(Calc!E256)))+Val!$D$15</f>
        <v>0.0023355431525057513</v>
      </c>
      <c r="J256" s="22">
        <f>Val!$D$11*((1-COS(Calc!$D256))+1/Val!$D$18*(1-(1-(Val!$D$18*SIN(Calc!$D256))^2)^0.5))+Val!$D$14+Val!$D$13+Val!$D$12*((1-COS(Calc!$E256))+1/Val!$D$19*(1-(1-(Val!$D$19*SIN(Calc!$E256))^2)^0.5))+Val!$D$15</f>
        <v>0.0023902627074359937</v>
      </c>
      <c r="K256" s="44">
        <f t="shared" si="71"/>
        <v>-5.471955493024233E-05</v>
      </c>
      <c r="L256" s="50">
        <f>Val!$D$42*Val!$D$22/Val!$D$37/(1-Val!$D$39*COS(D256-Val!$D$40))</f>
        <v>58034.74592753643</v>
      </c>
      <c r="M256" s="50">
        <f>Val!$D$42*Val!$D$22/(Val!$D$11*((1-COS(Calc!D256))+1/Val!$D$18*(1-(1-(Val!$D$18*SIN(Calc!D256))^2)^0.5))/Val!$D$25+Val!$D$14/Val!$D$25+Val!$D$13/Val!$D$27+Val!$D$12*((1-COS(Calc!E256))+1/Val!$D$19*(1-(1-(Val!$D$19*SIN(Calc!E256))^2)^0.5))/Val!$D$26+Val!$D$15/Val!$D$26)</f>
        <v>57208.85420200244</v>
      </c>
      <c r="N256" s="16">
        <f t="shared" si="60"/>
        <v>-0.31958513015943574</v>
      </c>
      <c r="O256" s="16">
        <f t="shared" si="61"/>
        <v>-0.3144399903017268</v>
      </c>
      <c r="P256" s="16">
        <f t="shared" si="62"/>
        <v>5.506608977657321E-06</v>
      </c>
      <c r="Q256" s="16">
        <f t="shared" si="63"/>
        <v>5.495540216354615E-06</v>
      </c>
      <c r="R256" s="13">
        <f t="shared" si="56"/>
        <v>0.9487824927187134</v>
      </c>
      <c r="S256" s="13">
        <f t="shared" si="57"/>
        <v>0.9710115642181946</v>
      </c>
      <c r="T256" s="13">
        <f t="shared" si="58"/>
        <v>0.3424278099360565</v>
      </c>
      <c r="U256" s="13">
        <f t="shared" si="59"/>
        <v>0.33755472416133736</v>
      </c>
      <c r="W256" s="387">
        <f>1*(M256-Val!$D$28)*PI()/4*Val!$D$2^2*(SIN(D256)+Val!$D$18/2*SIN(2*D256)/(1-Val!$D$18^2*SIN(D256)^2)^0.5)*Val!$D$4*(D256-D255)+1*(M256-Val!$D$28)*PI()/4*Val!$D$3^2*(SIN(E256)+Val!$D$19/2*SIN(2*E256)/(1-Val!$D$19^2*SIN(E256)^2)^0.5)*Val!$D$5*(E256-E255)</f>
        <v>0.23804423082575288</v>
      </c>
    </row>
    <row r="257" spans="2:23" ht="13.5">
      <c r="B257" s="32">
        <v>252</v>
      </c>
      <c r="C257" s="32">
        <f>B257-Data!$D$10</f>
        <v>162</v>
      </c>
      <c r="D257" s="30">
        <f t="shared" si="68"/>
        <v>4.39822971502571</v>
      </c>
      <c r="E257" s="30">
        <f t="shared" si="69"/>
        <v>2.827433388230814</v>
      </c>
      <c r="F257" s="26">
        <f>Val!$D$11*(1-COS(D257))+Val!$D$12*(1-COS(E257))</f>
        <v>0.0016300365435280946</v>
      </c>
      <c r="G257" s="26">
        <f>Val!$D$11*((1-COS(Calc!D257))+1/Val!$D$18*(1-(1-(Val!$D$18*SIN(Calc!D257))^2)^0.5))+Val!$D$12*((1-COS(Calc!E257))+1/Val!$D$19*(1-(1-(Val!$D$19*SIN(Calc!E257))^2)^0.5))</f>
        <v>0.001684767167219639</v>
      </c>
      <c r="H257" s="26">
        <f t="shared" si="70"/>
        <v>-5.473062369154439E-05</v>
      </c>
      <c r="I257" s="22">
        <f>Val!$D$11*(1-COS(D257))+Val!$D$14+Val!$D$13+Val!$D$12*((1-COS(Calc!E257)))+Val!$D$15</f>
        <v>0.0023300365435280942</v>
      </c>
      <c r="J257" s="22">
        <f>Val!$D$11*((1-COS(Calc!$D257))+1/Val!$D$18*(1-(1-(Val!$D$18*SIN(Calc!$D257))^2)^0.5))+Val!$D$14+Val!$D$13+Val!$D$12*((1-COS(Calc!$E257))+1/Val!$D$19*(1-(1-(Val!$D$19*SIN(Calc!$E257))^2)^0.5))+Val!$D$15</f>
        <v>0.002384767167219639</v>
      </c>
      <c r="K257" s="44">
        <f t="shared" si="71"/>
        <v>-5.473062369154482E-05</v>
      </c>
      <c r="L257" s="50">
        <f>Val!$D$42*Val!$D$22/Val!$D$37/(1-Val!$D$39*COS(D257-Val!$D$40))</f>
        <v>58038.55125268557</v>
      </c>
      <c r="M257" s="50">
        <f>Val!$D$42*Val!$D$22/(Val!$D$11*((1-COS(Calc!D257))+1/Val!$D$18*(1-(1-(Val!$D$18*SIN(Calc!D257))^2)^0.5))/Val!$D$25+Val!$D$14/Val!$D$25+Val!$D$13/Val!$D$27+Val!$D$12*((1-COS(Calc!E257))+1/Val!$D$19*(1-(1-(Val!$D$19*SIN(Calc!E257))^2)^0.5))/Val!$D$26+Val!$D$15/Val!$D$26)</f>
        <v>57225.752014128906</v>
      </c>
      <c r="N257" s="16">
        <f t="shared" si="60"/>
        <v>-0.33076185711144096</v>
      </c>
      <c r="O257" s="16">
        <f t="shared" si="61"/>
        <v>-0.3255458517263966</v>
      </c>
      <c r="P257" s="16">
        <f t="shared" si="62"/>
        <v>5.698524251697987E-06</v>
      </c>
      <c r="Q257" s="16">
        <f t="shared" si="63"/>
        <v>5.687703724637687E-06</v>
      </c>
      <c r="R257" s="13">
        <f t="shared" si="56"/>
        <v>0.9465455080641403</v>
      </c>
      <c r="S257" s="13">
        <f t="shared" si="57"/>
        <v>0.9687790760966564</v>
      </c>
      <c r="T257" s="13">
        <f t="shared" si="58"/>
        <v>0.34245026285001495</v>
      </c>
      <c r="U257" s="13">
        <f t="shared" si="59"/>
        <v>0.33765442789410466</v>
      </c>
      <c r="W257" s="387">
        <f>1*(M257-Val!$D$28)*PI()/4*Val!$D$2^2*(SIN(D257)+Val!$D$18/2*SIN(2*D257)/(1-Val!$D$18^2*SIN(D257)^2)^0.5)*Val!$D$4*(D257-D256)+1*(M257-Val!$D$28)*PI()/4*Val!$D$3^2*(SIN(E257)+Val!$D$19/2*SIN(2*E257)/(1-Val!$D$19^2*SIN(E257)^2)^0.5)*Val!$D$5*(E257-E256)</f>
        <v>0.24645867816123937</v>
      </c>
    </row>
    <row r="258" spans="2:23" ht="13.5">
      <c r="B258" s="32">
        <v>253</v>
      </c>
      <c r="C258" s="32">
        <f>B258-Data!$D$10</f>
        <v>163</v>
      </c>
      <c r="D258" s="30">
        <f t="shared" si="68"/>
        <v>4.4156830075456535</v>
      </c>
      <c r="E258" s="30">
        <f t="shared" si="69"/>
        <v>2.8448866807507573</v>
      </c>
      <c r="F258" s="26">
        <f>Val!$D$11*(1-COS(D258))+Val!$D$12*(1-COS(E258))</f>
        <v>0.0016243380192763966</v>
      </c>
      <c r="G258" s="26">
        <f>Val!$D$11*((1-COS(Calc!D258))+1/Val!$D$18*(1-(1-(Val!$D$18*SIN(Calc!D258))^2)^0.5))+Val!$D$12*((1-COS(Calc!E258))+1/Val!$D$19*(1-(1-(Val!$D$19*SIN(Calc!E258))^2)^0.5))</f>
        <v>0.0016790794634950013</v>
      </c>
      <c r="H258" s="26">
        <f t="shared" si="70"/>
        <v>-5.474144421860469E-05</v>
      </c>
      <c r="I258" s="22">
        <f>Val!$D$11*(1-COS(D258))+Val!$D$14+Val!$D$13+Val!$D$12*((1-COS(Calc!E258)))+Val!$D$15</f>
        <v>0.0023243380192763965</v>
      </c>
      <c r="J258" s="22">
        <f>Val!$D$11*((1-COS(Calc!$D258))+1/Val!$D$18*(1-(1-(Val!$D$18*SIN(Calc!$D258))^2)^0.5))+Val!$D$14+Val!$D$13+Val!$D$12*((1-COS(Calc!$E258))+1/Val!$D$19*(1-(1-(Val!$D$19*SIN(Calc!$E258))^2)^0.5))+Val!$D$15</f>
        <v>0.0023790794634950007</v>
      </c>
      <c r="K258" s="44">
        <f t="shared" si="71"/>
        <v>-5.474144421860425E-05</v>
      </c>
      <c r="L258" s="50">
        <f>Val!$D$42*Val!$D$22/Val!$D$37/(1-Val!$D$39*COS(D258-Val!$D$40))</f>
        <v>58048.29597373329</v>
      </c>
      <c r="M258" s="50">
        <f>Val!$D$42*Val!$D$22/(Val!$D$11*((1-COS(Calc!D258))+1/Val!$D$18*(1-(1-(Val!$D$18*SIN(Calc!D258))^2)^0.5))/Val!$D$25+Val!$D$14/Val!$D$25+Val!$D$13/Val!$D$27+Val!$D$12*((1-COS(Calc!E258))+1/Val!$D$19*(1-(1-(Val!$D$19*SIN(Calc!E258))^2)^0.5))/Val!$D$26+Val!$D$15/Val!$D$26)</f>
        <v>57247.80972087408</v>
      </c>
      <c r="N258" s="16">
        <f t="shared" si="60"/>
        <v>-0.34187540371543107</v>
      </c>
      <c r="O258" s="16">
        <f t="shared" si="61"/>
        <v>-0.33659314603231016</v>
      </c>
      <c r="P258" s="16">
        <f t="shared" si="62"/>
        <v>5.888703700049304E-06</v>
      </c>
      <c r="Q258" s="16">
        <f t="shared" si="63"/>
        <v>5.878184133515469E-06</v>
      </c>
      <c r="R258" s="13">
        <f t="shared" si="56"/>
        <v>0.9442305604518287</v>
      </c>
      <c r="S258" s="13">
        <f t="shared" si="57"/>
        <v>0.9664685241756105</v>
      </c>
      <c r="T258" s="13">
        <f t="shared" si="58"/>
        <v>0.3425077605340916</v>
      </c>
      <c r="U258" s="13">
        <f t="shared" si="59"/>
        <v>0.33778457703307724</v>
      </c>
      <c r="W258" s="387">
        <f>1*(M258-Val!$D$28)*PI()/4*Val!$D$2^2*(SIN(D258)+Val!$D$18/2*SIN(2*D258)/(1-Val!$D$18^2*SIN(D258)^2)^0.5)*Val!$D$4*(D258-D257)+1*(M258-Val!$D$28)*PI()/4*Val!$D$3^2*(SIN(E258)+Val!$D$19/2*SIN(2*E258)/(1-Val!$D$19^2*SIN(E258)^2)^0.5)*Val!$D$5*(E258-E257)</f>
        <v>0.2547639221640076</v>
      </c>
    </row>
    <row r="259" spans="2:23" ht="13.5">
      <c r="B259" s="32">
        <v>254</v>
      </c>
      <c r="C259" s="32">
        <f>B259-Data!$D$10</f>
        <v>164</v>
      </c>
      <c r="D259" s="30">
        <f t="shared" si="68"/>
        <v>4.4331363000655974</v>
      </c>
      <c r="E259" s="30">
        <f t="shared" si="69"/>
        <v>2.8623399732707004</v>
      </c>
      <c r="F259" s="26">
        <f>Val!$D$11*(1-COS(D259))+Val!$D$12*(1-COS(E259))</f>
        <v>0.0016184493155763473</v>
      </c>
      <c r="G259" s="26">
        <f>Val!$D$11*((1-COS(Calc!D259))+1/Val!$D$18*(1-(1-(Val!$D$18*SIN(Calc!D259))^2)^0.5))+Val!$D$12*((1-COS(Calc!E259))+1/Val!$D$19*(1-(1-(Val!$D$19*SIN(Calc!E259))^2)^0.5))</f>
        <v>0.0016732012793614858</v>
      </c>
      <c r="H259" s="26">
        <f t="shared" si="70"/>
        <v>-5.475196378513852E-05</v>
      </c>
      <c r="I259" s="22">
        <f>Val!$D$11*(1-COS(D259))+Val!$D$14+Val!$D$13+Val!$D$12*((1-COS(Calc!E259)))+Val!$D$15</f>
        <v>0.002318449315576347</v>
      </c>
      <c r="J259" s="22">
        <f>Val!$D$11*((1-COS(Calc!$D259))+1/Val!$D$18*(1-(1-(Val!$D$18*SIN(Calc!$D259))^2)^0.5))+Val!$D$14+Val!$D$13+Val!$D$12*((1-COS(Calc!$E259))+1/Val!$D$19*(1-(1-(Val!$D$19*SIN(Calc!$E259))^2)^0.5))+Val!$D$15</f>
        <v>0.002373201279361486</v>
      </c>
      <c r="K259" s="44">
        <f t="shared" si="71"/>
        <v>-5.4751963785138955E-05</v>
      </c>
      <c r="L259" s="50">
        <f>Val!$D$42*Val!$D$22/Val!$D$37/(1-Val!$D$39*COS(D259-Val!$D$40))</f>
        <v>58063.983104786515</v>
      </c>
      <c r="M259" s="50">
        <f>Val!$D$42*Val!$D$22/(Val!$D$11*((1-COS(Calc!D259))+1/Val!$D$18*(1-(1-(Val!$D$18*SIN(Calc!D259))^2)^0.5))/Val!$D$25+Val!$D$14/Val!$D$25+Val!$D$13/Val!$D$27+Val!$D$12*((1-COS(Calc!E259))+1/Val!$D$19*(1-(1-(Val!$D$19*SIN(Calc!E259))^2)^0.5))/Val!$D$26+Val!$D$15/Val!$D$26)</f>
        <v>57275.021951990406</v>
      </c>
      <c r="N259" s="16">
        <f t="shared" si="60"/>
        <v>-0.35292575286623573</v>
      </c>
      <c r="O259" s="16">
        <f t="shared" si="61"/>
        <v>-0.3475812657152412</v>
      </c>
      <c r="P259" s="16">
        <f t="shared" si="62"/>
        <v>6.077089392207344E-06</v>
      </c>
      <c r="Q259" s="16">
        <f t="shared" si="63"/>
        <v>6.066922047759209E-06</v>
      </c>
      <c r="R259" s="13">
        <f t="shared" si="56"/>
        <v>0.9418383550372464</v>
      </c>
      <c r="S259" s="13">
        <f t="shared" si="57"/>
        <v>0.9640805921911929</v>
      </c>
      <c r="T259" s="13">
        <f t="shared" si="58"/>
        <v>0.3426003207727018</v>
      </c>
      <c r="U259" s="13">
        <f t="shared" si="59"/>
        <v>0.3379451398916839</v>
      </c>
      <c r="W259" s="387">
        <f>1*(M259-Val!$D$28)*PI()/4*Val!$D$2^2*(SIN(D259)+Val!$D$18/2*SIN(2*D259)/(1-Val!$D$18^2*SIN(D259)^2)^0.5)*Val!$D$4*(D259-D258)+1*(M259-Val!$D$28)*PI()/4*Val!$D$3^2*(SIN(E259)+Val!$D$19/2*SIN(2*E259)/(1-Val!$D$19^2*SIN(E259)^2)^0.5)*Val!$D$5*(E259-E258)</f>
        <v>0.2629545215260878</v>
      </c>
    </row>
    <row r="260" spans="2:23" ht="13.5">
      <c r="B260" s="32">
        <v>255</v>
      </c>
      <c r="C260" s="32">
        <f>B260-Data!$D$10</f>
        <v>165</v>
      </c>
      <c r="D260" s="30">
        <f t="shared" si="68"/>
        <v>4.4505895925855405</v>
      </c>
      <c r="E260" s="30">
        <f t="shared" si="69"/>
        <v>2.8797932657906435</v>
      </c>
      <c r="F260" s="26">
        <f>Val!$D$11*(1-COS(D260))+Val!$D$12*(1-COS(E260))</f>
        <v>0.00161237222618414</v>
      </c>
      <c r="G260" s="26">
        <f>Val!$D$11*((1-COS(Calc!D260))+1/Val!$D$18*(1-(1-(Val!$D$18*SIN(Calc!D260))^2)^0.5))+Val!$D$12*((1-COS(Calc!E260))+1/Val!$D$19*(1-(1-(Val!$D$19*SIN(Calc!E260))^2)^0.5))</f>
        <v>0.0016671343573137266</v>
      </c>
      <c r="H260" s="26">
        <f t="shared" si="70"/>
        <v>-5.4762131129586656E-05</v>
      </c>
      <c r="I260" s="22">
        <f>Val!$D$11*(1-COS(D260))+Val!$D$14+Val!$D$13+Val!$D$12*((1-COS(Calc!E260)))+Val!$D$15</f>
        <v>0.0023123722261841396</v>
      </c>
      <c r="J260" s="22">
        <f>Val!$D$11*((1-COS(Calc!$D260))+1/Val!$D$18*(1-(1-(Val!$D$18*SIN(Calc!$D260))^2)^0.5))+Val!$D$14+Val!$D$13+Val!$D$12*((1-COS(Calc!$E260))+1/Val!$D$19*(1-(1-(Val!$D$19*SIN(Calc!$E260))^2)^0.5))+Val!$D$15</f>
        <v>0.0023671343573137267</v>
      </c>
      <c r="K260" s="44">
        <f t="shared" si="71"/>
        <v>-5.476213112958709E-05</v>
      </c>
      <c r="L260" s="50">
        <f>Val!$D$42*Val!$D$22/Val!$D$37/(1-Val!$D$39*COS(D260-Val!$D$40))</f>
        <v>58085.617498025975</v>
      </c>
      <c r="M260" s="50">
        <f>Val!$D$42*Val!$D$22/(Val!$D$11*((1-COS(Calc!D260))+1/Val!$D$18*(1-(1-(Val!$D$18*SIN(Calc!D260))^2)^0.5))/Val!$D$25+Val!$D$14/Val!$D$25+Val!$D$13/Val!$D$27+Val!$D$12*((1-COS(Calc!E260))+1/Val!$D$19*(1-(1-(Val!$D$19*SIN(Calc!E260))^2)^0.5))/Val!$D$26+Val!$D$15/Val!$D$26)</f>
        <v>57307.38506727198</v>
      </c>
      <c r="N260" s="16">
        <f t="shared" si="60"/>
        <v>-0.36391286608273216</v>
      </c>
      <c r="O260" s="16">
        <f t="shared" si="61"/>
        <v>-0.35850956731744965</v>
      </c>
      <c r="P260" s="16">
        <f t="shared" si="62"/>
        <v>6.2636239440670444E-06</v>
      </c>
      <c r="Q260" s="16">
        <f t="shared" si="63"/>
        <v>6.25385836857794E-06</v>
      </c>
      <c r="R260" s="13">
        <f t="shared" si="56"/>
        <v>0.9393696205093371</v>
      </c>
      <c r="S260" s="13">
        <f t="shared" si="57"/>
        <v>0.9616159880080386</v>
      </c>
      <c r="T260" s="13">
        <f t="shared" si="58"/>
        <v>0.3427279721956189</v>
      </c>
      <c r="U260" s="13">
        <f t="shared" si="59"/>
        <v>0.33813609499127917</v>
      </c>
      <c r="W260" s="387">
        <f>1*(M260-Val!$D$28)*PI()/4*Val!$D$2^2*(SIN(D260)+Val!$D$18/2*SIN(2*D260)/(1-Val!$D$18^2*SIN(D260)^2)^0.5)*Val!$D$4*(D260-D259)+1*(M260-Val!$D$28)*PI()/4*Val!$D$3^2*(SIN(E260)+Val!$D$19/2*SIN(2*E260)/(1-Val!$D$19^2*SIN(E260)^2)^0.5)*Val!$D$5*(E260-E259)</f>
        <v>0.27102509970067445</v>
      </c>
    </row>
    <row r="261" spans="2:23" ht="13.5">
      <c r="B261" s="32">
        <v>256</v>
      </c>
      <c r="C261" s="32">
        <f>B261-Data!$D$10</f>
        <v>166</v>
      </c>
      <c r="D261" s="30">
        <f t="shared" si="68"/>
        <v>4.468042885105484</v>
      </c>
      <c r="E261" s="30">
        <f t="shared" si="69"/>
        <v>2.897246558310587</v>
      </c>
      <c r="F261" s="26">
        <f>Val!$D$11*(1-COS(D261))+Val!$D$12*(1-COS(E261))</f>
        <v>0.0016061086022400729</v>
      </c>
      <c r="G261" s="26">
        <f>Val!$D$11*((1-COS(Calc!D261))+1/Val!$D$18*(1-(1-(Val!$D$18*SIN(Calc!D261))^2)^0.5))+Val!$D$12*((1-COS(Calc!E261))+1/Val!$D$19*(1-(1-(Val!$D$19*SIN(Calc!E261))^2)^0.5))</f>
        <v>0.0016608804989451486</v>
      </c>
      <c r="H261" s="26">
        <f t="shared" si="70"/>
        <v>-5.477189670507576E-05</v>
      </c>
      <c r="I261" s="22">
        <f>Val!$D$11*(1-COS(D261))+Val!$D$14+Val!$D$13+Val!$D$12*((1-COS(Calc!E261)))+Val!$D$15</f>
        <v>0.0023061086022400728</v>
      </c>
      <c r="J261" s="22">
        <f>Val!$D$11*((1-COS(Calc!$D261))+1/Val!$D$18*(1-(1-(Val!$D$18*SIN(Calc!$D261))^2)^0.5))+Val!$D$14+Val!$D$13+Val!$D$12*((1-COS(Calc!$E261))+1/Val!$D$19*(1-(1-(Val!$D$19*SIN(Calc!$E261))^2)^0.5))+Val!$D$15</f>
        <v>0.0023608804989451483</v>
      </c>
      <c r="K261" s="44">
        <f t="shared" si="71"/>
        <v>-5.4771896705075544E-05</v>
      </c>
      <c r="L261" s="50">
        <f>Val!$D$42*Val!$D$22/Val!$D$37/(1-Val!$D$39*COS(D261-Val!$D$40))</f>
        <v>58113.20584527068</v>
      </c>
      <c r="M261" s="50">
        <f>Val!$D$42*Val!$D$22/(Val!$D$11*((1-COS(Calc!D261))+1/Val!$D$18*(1-(1-(Val!$D$18*SIN(Calc!D261))^2)^0.5))/Val!$D$25+Val!$D$14/Val!$D$25+Val!$D$13/Val!$D$27+Val!$D$12*((1-COS(Calc!E261))+1/Val!$D$19*(1-(1-(Val!$D$19*SIN(Calc!E261))^2)^0.5))/Val!$D$26+Val!$D$15/Val!$D$26)</f>
        <v>57344.8971522072</v>
      </c>
      <c r="N261" s="16">
        <f t="shared" si="60"/>
        <v>-0.3748366827997882</v>
      </c>
      <c r="O261" s="16">
        <f t="shared" si="61"/>
        <v>-0.36937737156204936</v>
      </c>
      <c r="P261" s="16">
        <f t="shared" si="62"/>
        <v>6.4482505353960756E-06</v>
      </c>
      <c r="Q261" s="16">
        <f t="shared" si="63"/>
        <v>6.438934319424015E-06</v>
      </c>
      <c r="R261" s="13">
        <f aca="true" t="shared" si="72" ref="R261:R321">I261/$J$366</f>
        <v>0.9368251088685531</v>
      </c>
      <c r="S261" s="13">
        <f aca="true" t="shared" si="73" ref="S261:S321">J261/$J$366</f>
        <v>0.9590754434988594</v>
      </c>
      <c r="T261" s="13">
        <f aca="true" t="shared" si="74" ref="T261:T321">L261/$M$366</f>
        <v>0.3428907542872051</v>
      </c>
      <c r="U261" s="13">
        <f aca="true" t="shared" si="75" ref="U261:U321">M261/$M$366</f>
        <v>0.3383574310354921</v>
      </c>
      <c r="W261" s="387">
        <f>1*(M261-Val!$D$28)*PI()/4*Val!$D$2^2*(SIN(D261)+Val!$D$18/2*SIN(2*D261)/(1-Val!$D$18^2*SIN(D261)^2)^0.5)*Val!$D$4*(D261-D260)+1*(M261-Val!$D$28)*PI()/4*Val!$D$3^2*(SIN(E261)+Val!$D$19/2*SIN(2*E261)/(1-Val!$D$19^2*SIN(E261)^2)^0.5)*Val!$D$5*(E261-E260)</f>
        <v>0.27897034735268655</v>
      </c>
    </row>
    <row r="262" spans="2:23" ht="13.5">
      <c r="B262" s="32">
        <v>257</v>
      </c>
      <c r="C262" s="32">
        <f>B262-Data!$D$10</f>
        <v>167</v>
      </c>
      <c r="D262" s="30">
        <f t="shared" si="68"/>
        <v>4.485496177625427</v>
      </c>
      <c r="E262" s="30">
        <f t="shared" si="69"/>
        <v>2.91469985083053</v>
      </c>
      <c r="F262" s="26">
        <f>Val!$D$11*(1-COS(D262))+Val!$D$12*(1-COS(E262))</f>
        <v>0.0015996603517046768</v>
      </c>
      <c r="G262" s="26">
        <f>Val!$D$11*((1-COS(Calc!D262))+1/Val!$D$18*(1-(1-(Val!$D$18*SIN(Calc!D262))^2)^0.5))+Val!$D$12*((1-COS(Calc!E262))+1/Val!$D$19*(1-(1-(Val!$D$19*SIN(Calc!E262))^2)^0.5))</f>
        <v>0.0016544415646257246</v>
      </c>
      <c r="H262" s="26">
        <f t="shared" si="70"/>
        <v>-5.478121292104782E-05</v>
      </c>
      <c r="I262" s="22">
        <f>Val!$D$11*(1-COS(D262))+Val!$D$14+Val!$D$13+Val!$D$12*((1-COS(Calc!E262)))+Val!$D$15</f>
        <v>0.0022996603517046765</v>
      </c>
      <c r="J262" s="22">
        <f>Val!$D$11*((1-COS(Calc!$D262))+1/Val!$D$18*(1-(1-(Val!$D$18*SIN(Calc!$D262))^2)^0.5))+Val!$D$14+Val!$D$13+Val!$D$12*((1-COS(Calc!$E262))+1/Val!$D$19*(1-(1-(Val!$D$19*SIN(Calc!$E262))^2)^0.5))+Val!$D$15</f>
        <v>0.0023544415646257243</v>
      </c>
      <c r="K262" s="44">
        <f t="shared" si="71"/>
        <v>-5.478121292104782E-05</v>
      </c>
      <c r="L262" s="50">
        <f>Val!$D$42*Val!$D$22/Val!$D$37/(1-Val!$D$39*COS(D262-Val!$D$40))</f>
        <v>58146.756680131344</v>
      </c>
      <c r="M262" s="50">
        <f>Val!$D$42*Val!$D$22/(Val!$D$11*((1-COS(Calc!D262))+1/Val!$D$18*(1-(1-(Val!$D$18*SIN(Calc!D262))^2)^0.5))/Val!$D$25+Val!$D$14/Val!$D$25+Val!$D$13/Val!$D$27+Val!$D$12*((1-COS(Calc!E262))+1/Val!$D$19*(1-(1-(Val!$D$19*SIN(Calc!E262))^2)^0.5))/Val!$D$26+Val!$D$15/Val!$D$26)</f>
        <v>57387.55801440846</v>
      </c>
      <c r="N262" s="16">
        <f t="shared" si="60"/>
        <v>-0.38569711965061715</v>
      </c>
      <c r="O262" s="16">
        <f t="shared" si="61"/>
        <v>-0.380183963531283</v>
      </c>
      <c r="P262" s="16">
        <f t="shared" si="62"/>
        <v>6.63091292714673E-06</v>
      </c>
      <c r="Q262" s="16">
        <f t="shared" si="63"/>
        <v>6.62209147280911E-06</v>
      </c>
      <c r="R262" s="13">
        <f t="shared" si="72"/>
        <v>0.9342055951977891</v>
      </c>
      <c r="S262" s="13">
        <f t="shared" si="73"/>
        <v>0.9564597144135368</v>
      </c>
      <c r="T262" s="13">
        <f t="shared" si="74"/>
        <v>0.3430887173991176</v>
      </c>
      <c r="U262" s="13">
        <f t="shared" si="75"/>
        <v>0.33860914688916016</v>
      </c>
      <c r="W262" s="387">
        <f>1*(M262-Val!$D$28)*PI()/4*Val!$D$2^2*(SIN(D262)+Val!$D$18/2*SIN(2*D262)/(1-Val!$D$18^2*SIN(D262)^2)^0.5)*Val!$D$4*(D262-D261)+1*(M262-Val!$D$28)*PI()/4*Val!$D$3^2*(SIN(E262)+Val!$D$19/2*SIN(2*E262)/(1-Val!$D$19^2*SIN(E262)^2)^0.5)*Val!$D$5*(E262-E261)</f>
        <v>0.2867850248683683</v>
      </c>
    </row>
    <row r="263" spans="2:23" ht="13.5">
      <c r="B263" s="32">
        <v>258</v>
      </c>
      <c r="C263" s="32">
        <f>B263-Data!$D$10</f>
        <v>168</v>
      </c>
      <c r="D263" s="30">
        <f t="shared" si="68"/>
        <v>4.50294947014537</v>
      </c>
      <c r="E263" s="30">
        <f t="shared" si="69"/>
        <v>2.9321531433504737</v>
      </c>
      <c r="F263" s="26">
        <f>Val!$D$11*(1-COS(D263))+Val!$D$12*(1-COS(E263))</f>
        <v>0.00159302943877753</v>
      </c>
      <c r="G263" s="26">
        <f>Val!$D$11*((1-COS(Calc!D263))+1/Val!$D$18*(1-(1-(Val!$D$18*SIN(Calc!D263))^2)^0.5))+Val!$D$12*((1-COS(Calc!E263))+1/Val!$D$19*(1-(1-(Val!$D$19*SIN(Calc!E263))^2)^0.5))</f>
        <v>0.0016478194731529155</v>
      </c>
      <c r="H263" s="26">
        <f t="shared" si="70"/>
        <v>-5.479003437538544E-05</v>
      </c>
      <c r="I263" s="22">
        <f>Val!$D$11*(1-COS(D263))+Val!$D$14+Val!$D$13+Val!$D$12*((1-COS(Calc!E263)))+Val!$D$15</f>
        <v>0.0022930294387775297</v>
      </c>
      <c r="J263" s="22">
        <f>Val!$D$11*((1-COS(Calc!$D263))+1/Val!$D$18*(1-(1-(Val!$D$18*SIN(Calc!$D263))^2)^0.5))+Val!$D$14+Val!$D$13+Val!$D$12*((1-COS(Calc!$E263))+1/Val!$D$19*(1-(1-(Val!$D$19*SIN(Calc!$E263))^2)^0.5))+Val!$D$15</f>
        <v>0.002347819473152915</v>
      </c>
      <c r="K263" s="44">
        <f t="shared" si="71"/>
        <v>-5.4790034375385224E-05</v>
      </c>
      <c r="L263" s="50">
        <f>Val!$D$42*Val!$D$22/Val!$D$37/(1-Val!$D$39*COS(D263-Val!$D$40))</f>
        <v>58186.28038074949</v>
      </c>
      <c r="M263" s="50">
        <f>Val!$D$42*Val!$D$22/(Val!$D$11*((1-COS(Calc!D263))+1/Val!$D$18*(1-(1-(Val!$D$18*SIN(Calc!D263))^2)^0.5))/Val!$D$25+Val!$D$14/Val!$D$25+Val!$D$13/Val!$D$27+Val!$D$12*((1-COS(Calc!E263))+1/Val!$D$19*(1-(1-(Val!$D$19*SIN(Calc!E263))^2)^0.5))/Val!$D$26+Val!$D$15/Val!$D$26)</f>
        <v>57435.36918082565</v>
      </c>
      <c r="N263" s="16">
        <f aca="true" t="shared" si="76" ref="N263:N326">(L263+L264)/2*(I264-I263)</f>
        <v>-0.39649406973795615</v>
      </c>
      <c r="O263" s="16">
        <f aca="true" t="shared" si="77" ref="O263:O326">(M263+M264)/2*(J264-J263)</f>
        <v>-0.3909285928868422</v>
      </c>
      <c r="P263" s="16">
        <f aca="true" t="shared" si="78" ref="P263:P326">F263-F264</f>
        <v>6.811555478584801E-06</v>
      </c>
      <c r="Q263" s="16">
        <f aca="true" t="shared" si="79" ref="Q263:Q326">G263-G264</f>
        <v>6.803271778083866E-06</v>
      </c>
      <c r="R263" s="13">
        <f t="shared" si="72"/>
        <v>0.9315118774262852</v>
      </c>
      <c r="S263" s="13">
        <f t="shared" si="73"/>
        <v>0.9537695802373207</v>
      </c>
      <c r="T263" s="13">
        <f t="shared" si="74"/>
        <v>0.3433219227664701</v>
      </c>
      <c r="U263" s="13">
        <f t="shared" si="75"/>
        <v>0.33889125156188793</v>
      </c>
      <c r="W263" s="387">
        <f>1*(M263-Val!$D$28)*PI()/4*Val!$D$2^2*(SIN(D263)+Val!$D$18/2*SIN(2*D263)/(1-Val!$D$18^2*SIN(D263)^2)^0.5)*Val!$D$4*(D263-D262)+1*(M263-Val!$D$28)*PI()/4*Val!$D$3^2*(SIN(E263)+Val!$D$19/2*SIN(2*E263)/(1-Val!$D$19^2*SIN(E263)^2)^0.5)*Val!$D$5*(E263-E262)</f>
        <v>0.2944639649217375</v>
      </c>
    </row>
    <row r="264" spans="2:23" ht="13.5">
      <c r="B264" s="32">
        <v>259</v>
      </c>
      <c r="C264" s="32">
        <f>B264-Data!$D$10</f>
        <v>169</v>
      </c>
      <c r="D264" s="30">
        <f t="shared" si="68"/>
        <v>4.520402762665314</v>
      </c>
      <c r="E264" s="30">
        <f t="shared" si="69"/>
        <v>2.949606435870417</v>
      </c>
      <c r="F264" s="26">
        <f>Val!$D$11*(1-COS(D264))+Val!$D$12*(1-COS(E264))</f>
        <v>0.0015862178832989453</v>
      </c>
      <c r="G264" s="26">
        <f>Val!$D$11*((1-COS(Calc!D264))+1/Val!$D$18*(1-(1-(Val!$D$18*SIN(Calc!D264))^2)^0.5))+Val!$D$12*((1-COS(Calc!E264))+1/Val!$D$19*(1-(1-(Val!$D$19*SIN(Calc!E264))^2)^0.5))</f>
        <v>0.0016410162013748317</v>
      </c>
      <c r="H264" s="26">
        <f t="shared" si="70"/>
        <v>-5.4798318075886376E-05</v>
      </c>
      <c r="I264" s="22">
        <f>Val!$D$11*(1-COS(D264))+Val!$D$14+Val!$D$13+Val!$D$12*((1-COS(Calc!E264)))+Val!$D$15</f>
        <v>0.002286217883298945</v>
      </c>
      <c r="J264" s="22">
        <f>Val!$D$11*((1-COS(Calc!$D264))+1/Val!$D$18*(1-(1-(Val!$D$18*SIN(Calc!$D264))^2)^0.5))+Val!$D$14+Val!$D$13+Val!$D$12*((1-COS(Calc!$E264))+1/Val!$D$19*(1-(1-(Val!$D$19*SIN(Calc!$E264))^2)^0.5))+Val!$D$15</f>
        <v>0.0023410162013748318</v>
      </c>
      <c r="K264" s="44">
        <f t="shared" si="71"/>
        <v>-5.479831807588681E-05</v>
      </c>
      <c r="L264" s="50">
        <f>Val!$D$42*Val!$D$22/Val!$D$37/(1-Val!$D$39*COS(D264-Val!$D$40))</f>
        <v>58231.78917311797</v>
      </c>
      <c r="M264" s="50">
        <f>Val!$D$42*Val!$D$22/(Val!$D$11*((1-COS(Calc!D264))+1/Val!$D$18*(1-(1-(Val!$D$18*SIN(Calc!D264))^2)^0.5))/Val!$D$25+Val!$D$14/Val!$D$25+Val!$D$13/Val!$D$27+Val!$D$12*((1-COS(Calc!E264))+1/Val!$D$19*(1-(1-(Val!$D$19*SIN(Calc!E264))^2)^0.5))/Val!$D$26+Val!$D$15/Val!$D$26)</f>
        <v>57488.3338957503</v>
      </c>
      <c r="N264" s="16">
        <f t="shared" si="76"/>
        <v>-0.4072274018927321</v>
      </c>
      <c r="O264" s="16">
        <f t="shared" si="77"/>
        <v>-0.40161047413053724</v>
      </c>
      <c r="P264" s="16">
        <f t="shared" si="78"/>
        <v>6.990123164238478E-06</v>
      </c>
      <c r="Q264" s="16">
        <f t="shared" si="79"/>
        <v>6.982417590116127E-06</v>
      </c>
      <c r="R264" s="13">
        <f t="shared" si="72"/>
        <v>0.928744776086569</v>
      </c>
      <c r="S264" s="13">
        <f t="shared" si="73"/>
        <v>0.9510058440377445</v>
      </c>
      <c r="T264" s="13">
        <f t="shared" si="74"/>
        <v>0.34359044252742554</v>
      </c>
      <c r="U264" s="13">
        <f t="shared" si="75"/>
        <v>0.33920376419627046</v>
      </c>
      <c r="W264" s="387">
        <f>1*(M264-Val!$D$28)*PI()/4*Val!$D$2^2*(SIN(D264)+Val!$D$18/2*SIN(2*D264)/(1-Val!$D$18^2*SIN(D264)^2)^0.5)*Val!$D$4*(D264-D263)+1*(M264-Val!$D$28)*PI()/4*Val!$D$3^2*(SIN(E264)+Val!$D$19/2*SIN(2*E264)/(1-Val!$D$19^2*SIN(E264)^2)^0.5)*Val!$D$5*(E264-E263)</f>
        <v>0.30200207509436106</v>
      </c>
    </row>
    <row r="265" spans="2:23" ht="13.5">
      <c r="B265" s="32">
        <v>260</v>
      </c>
      <c r="C265" s="32">
        <f>B265-Data!$D$10</f>
        <v>170</v>
      </c>
      <c r="D265" s="30">
        <f t="shared" si="68"/>
        <v>4.537856055185257</v>
      </c>
      <c r="E265" s="30">
        <f t="shared" si="69"/>
        <v>2.9670597283903604</v>
      </c>
      <c r="F265" s="26">
        <f>Val!$D$11*(1-COS(D265))+Val!$D$12*(1-COS(E265))</f>
        <v>0.0015792277601347068</v>
      </c>
      <c r="G265" s="26">
        <f>Val!$D$11*((1-COS(Calc!D265))+1/Val!$D$18*(1-(1-(Val!$D$18*SIN(Calc!D265))^2)^0.5))+Val!$D$12*((1-COS(Calc!E265))+1/Val!$D$19*(1-(1-(Val!$D$19*SIN(Calc!E265))^2)^0.5))</f>
        <v>0.0016340337837847155</v>
      </c>
      <c r="H265" s="26">
        <f t="shared" si="70"/>
        <v>-5.4806023650008726E-05</v>
      </c>
      <c r="I265" s="22">
        <f>Val!$D$11*(1-COS(D265))+Val!$D$14+Val!$D$13+Val!$D$12*((1-COS(Calc!E265)))+Val!$D$15</f>
        <v>0.0022792277601347065</v>
      </c>
      <c r="J265" s="22">
        <f>Val!$D$11*((1-COS(Calc!$D265))+1/Val!$D$18*(1-(1-(Val!$D$18*SIN(Calc!$D265))^2)^0.5))+Val!$D$14+Val!$D$13+Val!$D$12*((1-COS(Calc!$E265))+1/Val!$D$19*(1-(1-(Val!$D$19*SIN(Calc!$E265))^2)^0.5))+Val!$D$15</f>
        <v>0.002334033783784715</v>
      </c>
      <c r="K265" s="44">
        <f t="shared" si="71"/>
        <v>-5.4806023650008726E-05</v>
      </c>
      <c r="L265" s="50">
        <f>Val!$D$42*Val!$D$22/Val!$D$37/(1-Val!$D$39*COS(D265-Val!$D$40))</f>
        <v>58283.29713497758</v>
      </c>
      <c r="M265" s="50">
        <f>Val!$D$42*Val!$D$22/(Val!$D$11*((1-COS(Calc!D265))+1/Val!$D$18*(1-(1-(Val!$D$18*SIN(Calc!D265))^2)^0.5))/Val!$D$25+Val!$D$14/Val!$D$25+Val!$D$13/Val!$D$27+Val!$D$12*((1-COS(Calc!E265))+1/Val!$D$19*(1-(1-(Val!$D$19*SIN(Calc!E265))^2)^0.5))/Val!$D$26+Val!$D$15/Val!$D$26)</f>
        <v>57546.45711961577</v>
      </c>
      <c r="N265" s="16">
        <f t="shared" si="76"/>
        <v>-0.4178969599198632</v>
      </c>
      <c r="O265" s="16">
        <f t="shared" si="77"/>
        <v>-0.41222878690135145</v>
      </c>
      <c r="P265" s="16">
        <f t="shared" si="78"/>
        <v>7.166561590661851E-06</v>
      </c>
      <c r="Q265" s="16">
        <f t="shared" si="79"/>
        <v>7.159471698813327E-06</v>
      </c>
      <c r="R265" s="13">
        <f t="shared" si="72"/>
        <v>0.9259051340645146</v>
      </c>
      <c r="S265" s="13">
        <f t="shared" si="73"/>
        <v>0.9481693322998875</v>
      </c>
      <c r="T265" s="13">
        <f t="shared" si="74"/>
        <v>0.3438943597461876</v>
      </c>
      <c r="U265" s="13">
        <f t="shared" si="75"/>
        <v>0.33954671406081416</v>
      </c>
      <c r="W265" s="387">
        <f>1*(M265-Val!$D$28)*PI()/4*Val!$D$2^2*(SIN(D265)+Val!$D$18/2*SIN(2*D265)/(1-Val!$D$18^2*SIN(D265)^2)^0.5)*Val!$D$4*(D265-D264)+1*(M265-Val!$D$28)*PI()/4*Val!$D$3^2*(SIN(E265)+Val!$D$19/2*SIN(2*E265)/(1-Val!$D$19^2*SIN(E265)^2)^0.5)*Val!$D$5*(E265-E264)</f>
        <v>0.3093943405447684</v>
      </c>
    </row>
    <row r="266" spans="2:23" ht="13.5">
      <c r="B266" s="32">
        <v>261</v>
      </c>
      <c r="C266" s="32">
        <f>B266-Data!$D$10</f>
        <v>171</v>
      </c>
      <c r="D266" s="30">
        <f t="shared" si="68"/>
        <v>4.5553093477052</v>
      </c>
      <c r="E266" s="30">
        <f t="shared" si="69"/>
        <v>2.9845130209103035</v>
      </c>
      <c r="F266" s="26">
        <f>Val!$D$11*(1-COS(D266))+Val!$D$12*(1-COS(E266))</f>
        <v>0.001572061198544045</v>
      </c>
      <c r="G266" s="26">
        <f>Val!$D$11*((1-COS(Calc!D266))+1/Val!$D$18*(1-(1-(Val!$D$18*SIN(Calc!D266))^2)^0.5))+Val!$D$12*((1-COS(Calc!E266))+1/Val!$D$19*(1-(1-(Val!$D$19*SIN(Calc!E266))^2)^0.5))</f>
        <v>0.0016268743120859022</v>
      </c>
      <c r="H266" s="26">
        <f t="shared" si="70"/>
        <v>-5.481311354185725E-05</v>
      </c>
      <c r="I266" s="22">
        <f>Val!$D$11*(1-COS(D266))+Val!$D$14+Val!$D$13+Val!$D$12*((1-COS(Calc!E266)))+Val!$D$15</f>
        <v>0.0022720611985440446</v>
      </c>
      <c r="J266" s="22">
        <f>Val!$D$11*((1-COS(Calc!$D266))+1/Val!$D$18*(1-(1-(Val!$D$18*SIN(Calc!$D266))^2)^0.5))+Val!$D$14+Val!$D$13+Val!$D$12*((1-COS(Calc!$E266))+1/Val!$D$19*(1-(1-(Val!$D$19*SIN(Calc!$E266))^2)^0.5))+Val!$D$15</f>
        <v>0.002326874312085902</v>
      </c>
      <c r="K266" s="44">
        <f t="shared" si="71"/>
        <v>-5.481311354185725E-05</v>
      </c>
      <c r="L266" s="50">
        <f>Val!$D$42*Val!$D$22/Val!$D$37/(1-Val!$D$39*COS(D266-Val!$D$40))</f>
        <v>58340.820200283975</v>
      </c>
      <c r="M266" s="50">
        <f>Val!$D$42*Val!$D$22/(Val!$D$11*((1-COS(Calc!D266))+1/Val!$D$18*(1-(1-(Val!$D$18*SIN(Calc!D266))^2)^0.5))/Val!$D$25+Val!$D$14/Val!$D$25+Val!$D$13/Val!$D$27+Val!$D$12*((1-COS(Calc!E266))+1/Val!$D$19*(1-(1-(Val!$D$19*SIN(Calc!E266))^2)^0.5))/Val!$D$26+Val!$D$15/Val!$D$26)</f>
        <v>57609.74552859857</v>
      </c>
      <c r="N266" s="16">
        <f t="shared" si="76"/>
        <v>-0.42850256182937574</v>
      </c>
      <c r="O266" s="16">
        <f t="shared" si="77"/>
        <v>-0.4227826763079952</v>
      </c>
      <c r="P266" s="16">
        <f t="shared" si="78"/>
        <v>7.3408170130004335E-06</v>
      </c>
      <c r="Q266" s="16">
        <f t="shared" si="79"/>
        <v>7.33437735941098E-06</v>
      </c>
      <c r="R266" s="13">
        <f t="shared" si="72"/>
        <v>0.9229938163425897</v>
      </c>
      <c r="S266" s="13">
        <f t="shared" si="73"/>
        <v>0.9452608947496495</v>
      </c>
      <c r="T266" s="13">
        <f t="shared" si="74"/>
        <v>0.3442337684393569</v>
      </c>
      <c r="U266" s="13">
        <f t="shared" si="75"/>
        <v>0.3399201405475843</v>
      </c>
      <c r="W266" s="387">
        <f>1*(M266-Val!$D$28)*PI()/4*Val!$D$2^2*(SIN(D266)+Val!$D$18/2*SIN(2*D266)/(1-Val!$D$18^2*SIN(D266)^2)^0.5)*Val!$D$4*(D266-D265)+1*(M266-Val!$D$28)*PI()/4*Val!$D$3^2*(SIN(E266)+Val!$D$19/2*SIN(2*E266)/(1-Val!$D$19^2*SIN(E266)^2)^0.5)*Val!$D$5*(E266-E265)</f>
        <v>0.3166358267240296</v>
      </c>
    </row>
    <row r="267" spans="2:23" ht="13.5">
      <c r="B267" s="32">
        <v>262</v>
      </c>
      <c r="C267" s="32">
        <f>B267-Data!$D$10</f>
        <v>172</v>
      </c>
      <c r="D267" s="30">
        <f t="shared" si="68"/>
        <v>4.572762640225143</v>
      </c>
      <c r="E267" s="30">
        <f t="shared" si="69"/>
        <v>3.001966313430247</v>
      </c>
      <c r="F267" s="26">
        <f>Val!$D$11*(1-COS(D267))+Val!$D$12*(1-COS(E267))</f>
        <v>0.0015647203815310445</v>
      </c>
      <c r="G267" s="26">
        <f>Val!$D$11*((1-COS(Calc!D267))+1/Val!$D$18*(1-(1-(Val!$D$18*SIN(Calc!D267))^2)^0.5))+Val!$D$12*((1-COS(Calc!E267))+1/Val!$D$19*(1-(1-(Val!$D$19*SIN(Calc!E267))^2)^0.5))</f>
        <v>0.0016195399347264912</v>
      </c>
      <c r="H267" s="26">
        <f t="shared" si="70"/>
        <v>-5.4819553195446704E-05</v>
      </c>
      <c r="I267" s="22">
        <f>Val!$D$11*(1-COS(D267))+Val!$D$14+Val!$D$13+Val!$D$12*((1-COS(Calc!E267)))+Val!$D$15</f>
        <v>0.002264720381531044</v>
      </c>
      <c r="J267" s="22">
        <f>Val!$D$11*((1-COS(Calc!$D267))+1/Val!$D$18*(1-(1-(Val!$D$18*SIN(Calc!$D267))^2)^0.5))+Val!$D$14+Val!$D$13+Val!$D$12*((1-COS(Calc!$E267))+1/Val!$D$19*(1-(1-(Val!$D$19*SIN(Calc!$E267))^2)^0.5))+Val!$D$15</f>
        <v>0.002319539934726491</v>
      </c>
      <c r="K267" s="44">
        <f t="shared" si="71"/>
        <v>-5.4819553195446704E-05</v>
      </c>
      <c r="L267" s="50">
        <f>Val!$D$42*Val!$D$22/Val!$D$37/(1-Val!$D$39*COS(D267-Val!$D$40))</f>
        <v>58404.37616423694</v>
      </c>
      <c r="M267" s="50">
        <f>Val!$D$42*Val!$D$22/(Val!$D$11*((1-COS(Calc!D267))+1/Val!$D$18*(1-(1-(Val!$D$18*SIN(Calc!D267))^2)^0.5))/Val!$D$25+Val!$D$14/Val!$D$25+Val!$D$13/Val!$D$27+Val!$D$12*((1-COS(Calc!E267))+1/Val!$D$19*(1-(1-(Val!$D$19*SIN(Calc!E267))^2)^0.5))/Val!$D$26+Val!$D$15/Val!$D$26)</f>
        <v>57678.20751502521</v>
      </c>
      <c r="N267" s="16">
        <f t="shared" si="76"/>
        <v>-0.4390439990526064</v>
      </c>
      <c r="O267" s="16">
        <f t="shared" si="77"/>
        <v>-0.4332712532924863</v>
      </c>
      <c r="P267" s="16">
        <f t="shared" si="78"/>
        <v>7.5128363513654334E-06</v>
      </c>
      <c r="Q267" s="16">
        <f t="shared" si="79"/>
        <v>7.507078323470886E-06</v>
      </c>
      <c r="R267" s="13">
        <f t="shared" si="72"/>
        <v>0.9200117097363751</v>
      </c>
      <c r="S267" s="13">
        <f t="shared" si="73"/>
        <v>0.9422814041647138</v>
      </c>
      <c r="T267" s="13">
        <f t="shared" si="74"/>
        <v>0.3446087736056061</v>
      </c>
      <c r="U267" s="13">
        <f t="shared" si="75"/>
        <v>0.3403240931746057</v>
      </c>
      <c r="W267" s="387">
        <f>1*(M267-Val!$D$28)*PI()/4*Val!$D$2^2*(SIN(D267)+Val!$D$18/2*SIN(2*D267)/(1-Val!$D$18^2*SIN(D267)^2)^0.5)*Val!$D$4*(D267-D266)+1*(M267-Val!$D$28)*PI()/4*Val!$D$3^2*(SIN(E267)+Val!$D$19/2*SIN(2*E267)/(1-Val!$D$19^2*SIN(E267)^2)^0.5)*Val!$D$5*(E267-E266)</f>
        <v>0.3237216821325022</v>
      </c>
    </row>
    <row r="268" spans="2:23" ht="13.5">
      <c r="B268" s="32">
        <v>263</v>
      </c>
      <c r="C268" s="32">
        <f>B268-Data!$D$10</f>
        <v>173</v>
      </c>
      <c r="D268" s="30">
        <f aca="true" t="shared" si="80" ref="D268:D276">PI()/180*B268</f>
        <v>4.590215932745087</v>
      </c>
      <c r="E268" s="30">
        <f aca="true" t="shared" si="81" ref="E268:E276">PI()/180*C268</f>
        <v>3.01941960595019</v>
      </c>
      <c r="F268" s="26">
        <f>Val!$D$11*(1-COS(D268))+Val!$D$12*(1-COS(E268))</f>
        <v>0.001557207545179679</v>
      </c>
      <c r="G268" s="26">
        <f>Val!$D$11*((1-COS(Calc!D268))+1/Val!$D$18*(1-(1-(Val!$D$18*SIN(Calc!D268))^2)^0.5))+Val!$D$12*((1-COS(Calc!E268))+1/Val!$D$19*(1-(1-(Val!$D$19*SIN(Calc!E268))^2)^0.5))</f>
        <v>0.0016120328564030203</v>
      </c>
      <c r="H268" s="26">
        <f aca="true" t="shared" si="82" ref="H268:H276">F268-G268</f>
        <v>-5.482531122334125E-05</v>
      </c>
      <c r="I268" s="22">
        <f>Val!$D$11*(1-COS(D268))+Val!$D$14+Val!$D$13+Val!$D$12*((1-COS(Calc!E268)))+Val!$D$15</f>
        <v>0.0022572075451796785</v>
      </c>
      <c r="J268" s="22">
        <f>Val!$D$11*((1-COS(Calc!$D268))+1/Val!$D$18*(1-(1-(Val!$D$18*SIN(Calc!$D268))^2)^0.5))+Val!$D$14+Val!$D$13+Val!$D$12*((1-COS(Calc!$E268))+1/Val!$D$19*(1-(1-(Val!$D$19*SIN(Calc!$E268))^2)^0.5))+Val!$D$15</f>
        <v>0.0023120328564030204</v>
      </c>
      <c r="K268" s="44">
        <f aca="true" t="shared" si="83" ref="K268:K276">I268-J268</f>
        <v>-5.48253112233419E-05</v>
      </c>
      <c r="L268" s="50">
        <f>Val!$D$42*Val!$D$22/Val!$D$37/(1-Val!$D$39*COS(D268-Val!$D$40))</f>
        <v>58473.98468886453</v>
      </c>
      <c r="M268" s="50">
        <f>Val!$D$42*Val!$D$22/(Val!$D$11*((1-COS(Calc!D268))+1/Val!$D$18*(1-(1-(Val!$D$18*SIN(Calc!D268))^2)^0.5))/Val!$D$25+Val!$D$14/Val!$D$25+Val!$D$13/Val!$D$27+Val!$D$12*((1-COS(Calc!E268))+1/Val!$D$19*(1-(1-(Val!$D$19*SIN(Calc!E268))^2)^0.5))/Val!$D$26+Val!$D$15/Val!$D$26)</f>
        <v>57751.85318858792</v>
      </c>
      <c r="N268" s="16">
        <f t="shared" si="76"/>
        <v>-0.4495210356415861</v>
      </c>
      <c r="O268" s="16">
        <f t="shared" si="77"/>
        <v>-0.4436935950224813</v>
      </c>
      <c r="P268" s="16">
        <f t="shared" si="78"/>
        <v>7.682567206998775E-06</v>
      </c>
      <c r="Q268" s="16">
        <f t="shared" si="79"/>
        <v>7.67751887049235E-06</v>
      </c>
      <c r="R268" s="13">
        <f t="shared" si="72"/>
        <v>0.9169597226244312</v>
      </c>
      <c r="S268" s="13">
        <f t="shared" si="73"/>
        <v>0.9392317561729243</v>
      </c>
      <c r="T268" s="13">
        <f t="shared" si="74"/>
        <v>0.34501949125862846</v>
      </c>
      <c r="U268" s="13">
        <f t="shared" si="75"/>
        <v>0.34075863159303577</v>
      </c>
      <c r="W268" s="387">
        <f>1*(M268-Val!$D$28)*PI()/4*Val!$D$2^2*(SIN(D268)+Val!$D$18/2*SIN(2*D268)/(1-Val!$D$18^2*SIN(D268)^2)^0.5)*Val!$D$4*(D268-D267)+1*(M268-Val!$D$28)*PI()/4*Val!$D$3^2*(SIN(E268)+Val!$D$19/2*SIN(2*E268)/(1-Val!$D$19^2*SIN(E268)^2)^0.5)*Val!$D$5*(E268-E267)</f>
        <v>0.3306471411139353</v>
      </c>
    </row>
    <row r="269" spans="2:23" ht="13.5">
      <c r="B269" s="32">
        <v>264</v>
      </c>
      <c r="C269" s="32">
        <f>B269-Data!$D$10</f>
        <v>174</v>
      </c>
      <c r="D269" s="30">
        <f t="shared" si="80"/>
        <v>4.60766922526503</v>
      </c>
      <c r="E269" s="30">
        <f t="shared" si="81"/>
        <v>3.036872898470133</v>
      </c>
      <c r="F269" s="26">
        <f>Val!$D$11*(1-COS(D269))+Val!$D$12*(1-COS(E269))</f>
        <v>0.0015495249779726803</v>
      </c>
      <c r="G269" s="26">
        <f>Val!$D$11*((1-COS(Calc!D269))+1/Val!$D$18*(1-(1-(Val!$D$18*SIN(Calc!D269))^2)^0.5))+Val!$D$12*((1-COS(Calc!E269))+1/Val!$D$19*(1-(1-(Val!$D$19*SIN(Calc!E269))^2)^0.5))</f>
        <v>0.001604355337532528</v>
      </c>
      <c r="H269" s="26">
        <f t="shared" si="82"/>
        <v>-5.483035955984768E-05</v>
      </c>
      <c r="I269" s="22">
        <f>Val!$D$11*(1-COS(D269))+Val!$D$14+Val!$D$13+Val!$D$12*((1-COS(Calc!E269)))+Val!$D$15</f>
        <v>0.00224952497797268</v>
      </c>
      <c r="J269" s="22">
        <f>Val!$D$11*((1-COS(Calc!$D269))+1/Val!$D$18*(1-(1-(Val!$D$18*SIN(Calc!$D269))^2)^0.5))+Val!$D$14+Val!$D$13+Val!$D$12*((1-COS(Calc!$E269))+1/Val!$D$19*(1-(1-(Val!$D$19*SIN(Calc!$E269))^2)^0.5))+Val!$D$15</f>
        <v>0.0023043553375325277</v>
      </c>
      <c r="K269" s="44">
        <f t="shared" si="83"/>
        <v>-5.483035955984768E-05</v>
      </c>
      <c r="L269" s="50">
        <f>Val!$D$42*Val!$D$22/Val!$D$37/(1-Val!$D$39*COS(D269-Val!$D$40))</f>
        <v>58549.66730915186</v>
      </c>
      <c r="M269" s="50">
        <f>Val!$D$42*Val!$D$22/(Val!$D$11*((1-COS(Calc!D269))+1/Val!$D$18*(1-(1-(Val!$D$18*SIN(Calc!D269))^2)^0.5))/Val!$D$25+Val!$D$14/Val!$D$25+Val!$D$13/Val!$D$27+Val!$D$12*((1-COS(Calc!E269))+1/Val!$D$19*(1-(1-(Val!$D$19*SIN(Calc!E269))^2)^0.5))/Val!$D$26+Val!$D$15/Val!$D$26)</f>
        <v>57830.69437837174</v>
      </c>
      <c r="N269" s="16">
        <f t="shared" si="76"/>
        <v>-0.4599334074517221</v>
      </c>
      <c r="O269" s="16">
        <f t="shared" si="77"/>
        <v>-0.4540487453092864</v>
      </c>
      <c r="P269" s="16">
        <f t="shared" si="78"/>
        <v>7.84995787823776E-06</v>
      </c>
      <c r="Q269" s="16">
        <f t="shared" si="79"/>
        <v>7.845643840084359E-06</v>
      </c>
      <c r="R269" s="13">
        <f t="shared" si="72"/>
        <v>0.9138387846715978</v>
      </c>
      <c r="S269" s="13">
        <f t="shared" si="73"/>
        <v>0.9361128690378158</v>
      </c>
      <c r="T269" s="13">
        <f t="shared" si="74"/>
        <v>0.3454660484632998</v>
      </c>
      <c r="U269" s="13">
        <f t="shared" si="75"/>
        <v>0.34122382559912545</v>
      </c>
      <c r="W269" s="387">
        <f>1*(M269-Val!$D$28)*PI()/4*Val!$D$2^2*(SIN(D269)+Val!$D$18/2*SIN(2*D269)/(1-Val!$D$18^2*SIN(D269)^2)^0.5)*Val!$D$4*(D269-D268)+1*(M269-Val!$D$28)*PI()/4*Val!$D$3^2*(SIN(E269)+Val!$D$19/2*SIN(2*E269)/(1-Val!$D$19^2*SIN(E269)^2)^0.5)*Val!$D$5*(E269-E268)</f>
        <v>0.3374075266815244</v>
      </c>
    </row>
    <row r="270" spans="2:23" ht="13.5">
      <c r="B270" s="32">
        <v>265</v>
      </c>
      <c r="C270" s="32">
        <f>B270-Data!$D$10</f>
        <v>175</v>
      </c>
      <c r="D270" s="30">
        <f t="shared" si="80"/>
        <v>4.625122517784973</v>
      </c>
      <c r="E270" s="30">
        <f t="shared" si="81"/>
        <v>3.0543261909900767</v>
      </c>
      <c r="F270" s="26">
        <f>Val!$D$11*(1-COS(D270))+Val!$D$12*(1-COS(E270))</f>
        <v>0.0015416750200944425</v>
      </c>
      <c r="G270" s="26">
        <f>Val!$D$11*((1-COS(Calc!D270))+1/Val!$D$18*(1-(1-(Val!$D$18*SIN(Calc!D270))^2)^0.5))+Val!$D$12*((1-COS(Calc!E270))+1/Val!$D$19*(1-(1-(Val!$D$19*SIN(Calc!E270))^2)^0.5))</f>
        <v>0.0015965096936924436</v>
      </c>
      <c r="H270" s="26">
        <f t="shared" si="82"/>
        <v>-5.483467359800108E-05</v>
      </c>
      <c r="I270" s="22">
        <f>Val!$D$11*(1-COS(D270))+Val!$D$14+Val!$D$13+Val!$D$12*((1-COS(Calc!E270)))+Val!$D$15</f>
        <v>0.0022416750200944424</v>
      </c>
      <c r="J270" s="22">
        <f>Val!$D$11*((1-COS(Calc!$D270))+1/Val!$D$18*(1-(1-(Val!$D$18*SIN(Calc!$D270))^2)^0.5))+Val!$D$14+Val!$D$13+Val!$D$12*((1-COS(Calc!$E270))+1/Val!$D$19*(1-(1-(Val!$D$19*SIN(Calc!$E270))^2)^0.5))+Val!$D$15</f>
        <v>0.0022965096936924433</v>
      </c>
      <c r="K270" s="44">
        <f t="shared" si="83"/>
        <v>-5.483467359800086E-05</v>
      </c>
      <c r="L270" s="50">
        <f>Val!$D$42*Val!$D$22/Val!$D$37/(1-Val!$D$39*COS(D270-Val!$D$40))</f>
        <v>58631.44743970472</v>
      </c>
      <c r="M270" s="50">
        <f>Val!$D$42*Val!$D$22/(Val!$D$11*((1-COS(Calc!D270))+1/Val!$D$18*(1-(1-(Val!$D$18*SIN(Calc!D270))^2)^0.5))/Val!$D$25+Val!$D$14/Val!$D$25+Val!$D$13/Val!$D$27+Val!$D$12*((1-COS(Calc!E270))+1/Val!$D$19*(1-(1-(Val!$D$19*SIN(Calc!E270))^2)^0.5))/Val!$D$26+Val!$D$15/Val!$D$26)</f>
        <v>57914.744635695024</v>
      </c>
      <c r="N270" s="16">
        <f t="shared" si="76"/>
        <v>-0.47028082130548327</v>
      </c>
      <c r="O270" s="16">
        <f t="shared" si="77"/>
        <v>-0.4643357150478288</v>
      </c>
      <c r="P270" s="16">
        <f t="shared" si="78"/>
        <v>8.014957376263317E-06</v>
      </c>
      <c r="Q270" s="16">
        <f t="shared" si="79"/>
        <v>8.011398664580557E-06</v>
      </c>
      <c r="R270" s="13">
        <f t="shared" si="72"/>
        <v>0.9106498465458088</v>
      </c>
      <c r="S270" s="13">
        <f t="shared" si="73"/>
        <v>0.9329256834310793</v>
      </c>
      <c r="T270" s="13">
        <f t="shared" si="74"/>
        <v>0.3459485833749968</v>
      </c>
      <c r="U270" s="13">
        <f t="shared" si="75"/>
        <v>0.3417197551509789</v>
      </c>
      <c r="W270" s="387">
        <f>1*(M270-Val!$D$28)*PI()/4*Val!$D$2^2*(SIN(D270)+Val!$D$18/2*SIN(2*D270)/(1-Val!$D$18^2*SIN(D270)^2)^0.5)*Val!$D$4*(D270-D269)+1*(M270-Val!$D$28)*PI()/4*Val!$D$3^2*(SIN(E270)+Val!$D$19/2*SIN(2*E270)/(1-Val!$D$19^2*SIN(E270)^2)^0.5)*Val!$D$5*(E270-E269)</f>
        <v>0.34399825337144707</v>
      </c>
    </row>
    <row r="271" spans="2:23" ht="13.5">
      <c r="B271" s="32">
        <v>266</v>
      </c>
      <c r="C271" s="32">
        <f>B271-Data!$D$10</f>
        <v>176</v>
      </c>
      <c r="D271" s="30">
        <f t="shared" si="80"/>
        <v>4.642575810304916</v>
      </c>
      <c r="E271" s="30">
        <f t="shared" si="81"/>
        <v>3.07177948351002</v>
      </c>
      <c r="F271" s="26">
        <f>Val!$D$11*(1-COS(D271))+Val!$D$12*(1-COS(E271))</f>
        <v>0.0015336600627181792</v>
      </c>
      <c r="G271" s="26">
        <f>Val!$D$11*((1-COS(Calc!D271))+1/Val!$D$18*(1-(1-(Val!$D$18*SIN(Calc!D271))^2)^0.5))+Val!$D$12*((1-COS(Calc!E271))+1/Val!$D$19*(1-(1-(Val!$D$19*SIN(Calc!E271))^2)^0.5))</f>
        <v>0.001588498295027863</v>
      </c>
      <c r="H271" s="26">
        <f t="shared" si="82"/>
        <v>-5.483823230968384E-05</v>
      </c>
      <c r="I271" s="22">
        <f>Val!$D$11*(1-COS(D271))+Val!$D$14+Val!$D$13+Val!$D$12*((1-COS(Calc!E271)))+Val!$D$15</f>
        <v>0.002233660062718179</v>
      </c>
      <c r="J271" s="22">
        <f>Val!$D$11*((1-COS(Calc!$D271))+1/Val!$D$18*(1-(1-(Val!$D$18*SIN(Calc!$D271))^2)^0.5))+Val!$D$14+Val!$D$13+Val!$D$12*((1-COS(Calc!$E271))+1/Val!$D$19*(1-(1-(Val!$D$19*SIN(Calc!$E271))^2)^0.5))+Val!$D$15</f>
        <v>0.0022884982950278627</v>
      </c>
      <c r="K271" s="44">
        <f t="shared" si="83"/>
        <v>-5.483823230968384E-05</v>
      </c>
      <c r="L271" s="50">
        <f>Val!$D$42*Val!$D$22/Val!$D$37/(1-Val!$D$39*COS(D271-Val!$D$40))</f>
        <v>58719.350381935576</v>
      </c>
      <c r="M271" s="50">
        <f>Val!$D$42*Val!$D$22/(Val!$D$11*((1-COS(Calc!D271))+1/Val!$D$18*(1-(1-(Val!$D$18*SIN(Calc!D271))^2)^0.5))/Val!$D$25+Val!$D$14/Val!$D$25+Val!$D$13/Val!$D$27+Val!$D$12*((1-COS(Calc!E271))+1/Val!$D$19*(1-(1-(Val!$D$19*SIN(Calc!E271))^2)^0.5))/Val!$D$26+Val!$D$15/Val!$D$26)</f>
        <v>58004.01923776389</v>
      </c>
      <c r="N271" s="16">
        <f t="shared" si="76"/>
        <v>-0.48056295413673267</v>
      </c>
      <c r="O271" s="16">
        <f t="shared" si="77"/>
        <v>-0.47455348267480274</v>
      </c>
      <c r="P271" s="16">
        <f t="shared" si="78"/>
        <v>8.177515440629468E-06</v>
      </c>
      <c r="Q271" s="16">
        <f t="shared" si="79"/>
        <v>8.174729402035631E-06</v>
      </c>
      <c r="R271" s="13">
        <f t="shared" si="72"/>
        <v>0.9073938796285087</v>
      </c>
      <c r="S271" s="13">
        <f t="shared" si="73"/>
        <v>0.9296711621917739</v>
      </c>
      <c r="T271" s="13">
        <f t="shared" si="74"/>
        <v>0.34646724528199696</v>
      </c>
      <c r="U271" s="13">
        <f t="shared" si="75"/>
        <v>0.3422465103901166</v>
      </c>
      <c r="W271" s="387">
        <f>1*(M271-Val!$D$28)*PI()/4*Val!$D$2^2*(SIN(D271)+Val!$D$18/2*SIN(2*D271)/(1-Val!$D$18^2*SIN(D271)^2)^0.5)*Val!$D$4*(D271-D270)+1*(M271-Val!$D$28)*PI()/4*Val!$D$3^2*(SIN(E271)+Val!$D$19/2*SIN(2*E271)/(1-Val!$D$19^2*SIN(E271)^2)^0.5)*Val!$D$5*(E271-E270)</f>
        <v>0.35041483011791624</v>
      </c>
    </row>
    <row r="272" spans="2:23" ht="13.5">
      <c r="B272" s="32">
        <v>267</v>
      </c>
      <c r="C272" s="32">
        <f>B272-Data!$D$10</f>
        <v>177</v>
      </c>
      <c r="D272" s="30">
        <f t="shared" si="80"/>
        <v>4.6600291028248595</v>
      </c>
      <c r="E272" s="30">
        <f t="shared" si="81"/>
        <v>3.0892327760299634</v>
      </c>
      <c r="F272" s="26">
        <f>Val!$D$11*(1-COS(D272))+Val!$D$12*(1-COS(E272))</f>
        <v>0.0015254825472775498</v>
      </c>
      <c r="G272" s="26">
        <f>Val!$D$11*((1-COS(Calc!D272))+1/Val!$D$18*(1-(1-(Val!$D$18*SIN(Calc!D272))^2)^0.5))+Val!$D$12*((1-COS(Calc!E272))+1/Val!$D$19*(1-(1-(Val!$D$19*SIN(Calc!E272))^2)^0.5))</f>
        <v>0.0015803235656258274</v>
      </c>
      <c r="H272" s="26">
        <f t="shared" si="82"/>
        <v>-5.4841018348277676E-05</v>
      </c>
      <c r="I272" s="22">
        <f>Val!$D$11*(1-COS(D272))+Val!$D$14+Val!$D$13+Val!$D$12*((1-COS(Calc!E272)))+Val!$D$15</f>
        <v>0.002225482547277549</v>
      </c>
      <c r="J272" s="22">
        <f>Val!$D$11*((1-COS(Calc!$D272))+1/Val!$D$18*(1-(1-(Val!$D$18*SIN(Calc!$D272))^2)^0.5))+Val!$D$14+Val!$D$13+Val!$D$12*((1-COS(Calc!$E272))+1/Val!$D$19*(1-(1-(Val!$D$19*SIN(Calc!$E272))^2)^0.5))+Val!$D$15</f>
        <v>0.002280323565625827</v>
      </c>
      <c r="K272" s="44">
        <f t="shared" si="83"/>
        <v>-5.4841018348277676E-05</v>
      </c>
      <c r="L272" s="50">
        <f>Val!$D$42*Val!$D$22/Val!$D$37/(1-Val!$D$39*COS(D272-Val!$D$40))</f>
        <v>58813.403331759226</v>
      </c>
      <c r="M272" s="50">
        <f>Val!$D$42*Val!$D$22/(Val!$D$11*((1-COS(Calc!D272))+1/Val!$D$18*(1-(1-(Val!$D$18*SIN(Calc!D272))^2)^0.5))/Val!$D$25+Val!$D$14/Val!$D$25+Val!$D$13/Val!$D$27+Val!$D$12*((1-COS(Calc!E272))+1/Val!$D$19*(1-(1-(Val!$D$19*SIN(Calc!E272))^2)^0.5))/Val!$D$26+Val!$D$15/Val!$D$26)</f>
        <v>58098.535192140356</v>
      </c>
      <c r="N272" s="16">
        <f t="shared" si="76"/>
        <v>-0.49077945211492247</v>
      </c>
      <c r="O272" s="16">
        <f t="shared" si="77"/>
        <v>-0.484700994642261</v>
      </c>
      <c r="P272" s="16">
        <f t="shared" si="78"/>
        <v>8.337582554575297E-06</v>
      </c>
      <c r="Q272" s="16">
        <f t="shared" si="79"/>
        <v>8.335582769506203E-06</v>
      </c>
      <c r="R272" s="13">
        <f t="shared" si="72"/>
        <v>0.904071875718762</v>
      </c>
      <c r="S272" s="13">
        <f t="shared" si="73"/>
        <v>0.9263502900721373</v>
      </c>
      <c r="T272" s="13">
        <f t="shared" si="74"/>
        <v>0.3470221946508863</v>
      </c>
      <c r="U272" s="13">
        <f t="shared" si="75"/>
        <v>0.34280419166783876</v>
      </c>
      <c r="W272" s="387">
        <f>1*(M272-Val!$D$28)*PI()/4*Val!$D$2^2*(SIN(D272)+Val!$D$18/2*SIN(2*D272)/(1-Val!$D$18^2*SIN(D272)^2)^0.5)*Val!$D$4*(D272-D271)+1*(M272-Val!$D$28)*PI()/4*Val!$D$3^2*(SIN(E272)+Val!$D$19/2*SIN(2*E272)/(1-Val!$D$19^2*SIN(E272)^2)^0.5)*Val!$D$5*(E272-E271)</f>
        <v>0.3566528631450024</v>
      </c>
    </row>
    <row r="273" spans="2:23" ht="13.5">
      <c r="B273" s="32">
        <v>268</v>
      </c>
      <c r="C273" s="32">
        <f>B273-Data!$D$10</f>
        <v>178</v>
      </c>
      <c r="D273" s="30">
        <f t="shared" si="80"/>
        <v>4.6774823953448035</v>
      </c>
      <c r="E273" s="30">
        <f t="shared" si="81"/>
        <v>3.1066860685499065</v>
      </c>
      <c r="F273" s="26">
        <f>Val!$D$11*(1-COS(D273))+Val!$D$12*(1-COS(E273))</f>
        <v>0.0015171449647229745</v>
      </c>
      <c r="G273" s="26">
        <f>Val!$D$11*((1-COS(Calc!D273))+1/Val!$D$18*(1-(1-(Val!$D$18*SIN(Calc!D273))^2)^0.5))+Val!$D$12*((1-COS(Calc!E273))+1/Val!$D$19*(1-(1-(Val!$D$19*SIN(Calc!E273))^2)^0.5))</f>
        <v>0.0015719879828563212</v>
      </c>
      <c r="H273" s="26">
        <f t="shared" si="82"/>
        <v>-5.484301813334677E-05</v>
      </c>
      <c r="I273" s="22">
        <f>Val!$D$11*(1-COS(D273))+Val!$D$14+Val!$D$13+Val!$D$12*((1-COS(Calc!E273)))+Val!$D$15</f>
        <v>0.002217144964722974</v>
      </c>
      <c r="J273" s="22">
        <f>Val!$D$11*((1-COS(Calc!$D273))+1/Val!$D$18*(1-(1-(Val!$D$18*SIN(Calc!$D273))^2)^0.5))+Val!$D$14+Val!$D$13+Val!$D$12*((1-COS(Calc!$E273))+1/Val!$D$19*(1-(1-(Val!$D$19*SIN(Calc!$E273))^2)^0.5))+Val!$D$15</f>
        <v>0.0022719879828563207</v>
      </c>
      <c r="K273" s="44">
        <f t="shared" si="83"/>
        <v>-5.484301813334655E-05</v>
      </c>
      <c r="L273" s="50">
        <f>Val!$D$42*Val!$D$22/Val!$D$37/(1-Val!$D$39*COS(D273-Val!$D$40))</f>
        <v>58913.63538778357</v>
      </c>
      <c r="M273" s="50">
        <f>Val!$D$42*Val!$D$22/(Val!$D$11*((1-COS(Calc!D273))+1/Val!$D$18*(1-(1-(Val!$D$18*SIN(Calc!D273))^2)^0.5))/Val!$D$25+Val!$D$14/Val!$D$25+Val!$D$13/Val!$D$27+Val!$D$12*((1-COS(Calc!E273))+1/Val!$D$19*(1-(1-(Val!$D$19*SIN(Calc!E273))^2)^0.5))/Val!$D$26+Val!$D$15/Val!$D$26)</f>
        <v>58198.311242023134</v>
      </c>
      <c r="N273" s="16">
        <f t="shared" si="76"/>
        <v>-0.5009299297474367</v>
      </c>
      <c r="O273" s="16">
        <f t="shared" si="77"/>
        <v>-0.4947771659017665</v>
      </c>
      <c r="P273" s="16">
        <f t="shared" si="78"/>
        <v>8.495109960106415E-06</v>
      </c>
      <c r="Q273" s="16">
        <f t="shared" si="79"/>
        <v>8.493906176512342E-06</v>
      </c>
      <c r="R273" s="13">
        <f t="shared" si="72"/>
        <v>0.9006848467311405</v>
      </c>
      <c r="S273" s="13">
        <f t="shared" si="73"/>
        <v>0.9229640734698749</v>
      </c>
      <c r="T273" s="13">
        <f t="shared" si="74"/>
        <v>0.34761360317488776</v>
      </c>
      <c r="U273" s="13">
        <f t="shared" si="75"/>
        <v>0.3433929095763843</v>
      </c>
      <c r="W273" s="387">
        <f>1*(M273-Val!$D$28)*PI()/4*Val!$D$2^2*(SIN(D273)+Val!$D$18/2*SIN(2*D273)/(1-Val!$D$18^2*SIN(D273)^2)^0.5)*Val!$D$4*(D273-D272)+1*(M273-Val!$D$28)*PI()/4*Val!$D$3^2*(SIN(E273)+Val!$D$19/2*SIN(2*E273)/(1-Val!$D$19^2*SIN(E273)^2)^0.5)*Val!$D$5*(E273-E272)</f>
        <v>0.36270805886931623</v>
      </c>
    </row>
    <row r="274" spans="2:23" ht="13.5">
      <c r="B274" s="32">
        <v>269</v>
      </c>
      <c r="C274" s="32">
        <f>B274-Data!$D$10</f>
        <v>179</v>
      </c>
      <c r="D274" s="30">
        <f t="shared" si="80"/>
        <v>4.694935687864747</v>
      </c>
      <c r="E274" s="30">
        <f t="shared" si="81"/>
        <v>3.12413936106985</v>
      </c>
      <c r="F274" s="26">
        <f>Val!$D$11*(1-COS(D274))+Val!$D$12*(1-COS(E274))</f>
        <v>0.001508649854762868</v>
      </c>
      <c r="G274" s="26">
        <f>Val!$D$11*((1-COS(Calc!D274))+1/Val!$D$18*(1-(1-(Val!$D$18*SIN(Calc!D274))^2)^0.5))+Val!$D$12*((1-COS(Calc!E274))+1/Val!$D$19*(1-(1-(Val!$D$19*SIN(Calc!E274))^2)^0.5))</f>
        <v>0.001563494076679809</v>
      </c>
      <c r="H274" s="26">
        <f t="shared" si="82"/>
        <v>-5.484422191694084E-05</v>
      </c>
      <c r="I274" s="22">
        <f>Val!$D$11*(1-COS(D274))+Val!$D$14+Val!$D$13+Val!$D$12*((1-COS(Calc!E274)))+Val!$D$15</f>
        <v>0.0022086498547628677</v>
      </c>
      <c r="J274" s="22">
        <f>Val!$D$11*((1-COS(Calc!$D274))+1/Val!$D$18*(1-(1-(Val!$D$18*SIN(Calc!$D274))^2)^0.5))+Val!$D$14+Val!$D$13+Val!$D$12*((1-COS(Calc!$E274))+1/Val!$D$19*(1-(1-(Val!$D$19*SIN(Calc!$E274))^2)^0.5))+Val!$D$15</f>
        <v>0.0022634940766798083</v>
      </c>
      <c r="K274" s="44">
        <f t="shared" si="83"/>
        <v>-5.4844221916940626E-05</v>
      </c>
      <c r="L274" s="50">
        <f>Val!$D$42*Val!$D$22/Val!$D$37/(1-Val!$D$39*COS(D274-Val!$D$40))</f>
        <v>59020.07755997956</v>
      </c>
      <c r="M274" s="50">
        <f>Val!$D$42*Val!$D$22/(Val!$D$11*((1-COS(Calc!D274))+1/Val!$D$18*(1-(1-(Val!$D$18*SIN(Calc!D274))^2)^0.5))/Val!$D$25+Val!$D$14/Val!$D$25+Val!$D$13/Val!$D$27+Val!$D$12*((1-COS(Calc!E274))+1/Val!$D$19*(1-(1-(Val!$D$19*SIN(Calc!E274))^2)^0.5))/Val!$D$26+Val!$D$15/Val!$D$26)</f>
        <v>58303.36787233824</v>
      </c>
      <c r="N274" s="16">
        <f t="shared" si="76"/>
        <v>-0.5110139689594257</v>
      </c>
      <c r="O274" s="16">
        <f t="shared" si="77"/>
        <v>-0.5047808803959408</v>
      </c>
      <c r="P274" s="16">
        <f t="shared" si="78"/>
        <v>8.650049672849621E-06</v>
      </c>
      <c r="Q274" s="16">
        <f t="shared" si="79"/>
        <v>8.649647758602946E-06</v>
      </c>
      <c r="R274" s="13">
        <f t="shared" si="72"/>
        <v>0.8972338243874849</v>
      </c>
      <c r="S274" s="13">
        <f t="shared" si="73"/>
        <v>0.9195135401468557</v>
      </c>
      <c r="T274" s="13">
        <f t="shared" si="74"/>
        <v>0.3482416538250176</v>
      </c>
      <c r="U274" s="13">
        <f t="shared" si="75"/>
        <v>0.34401278498486776</v>
      </c>
      <c r="W274" s="387">
        <f>1*(M274-Val!$D$28)*PI()/4*Val!$D$2^2*(SIN(D274)+Val!$D$18/2*SIN(2*D274)/(1-Val!$D$18^2*SIN(D274)^2)^0.5)*Val!$D$4*(D274-D273)+1*(M274-Val!$D$28)*PI()/4*Val!$D$3^2*(SIN(E274)+Val!$D$19/2*SIN(2*E274)/(1-Val!$D$19^2*SIN(E274)^2)^0.5)*Val!$D$5*(E274-E273)</f>
        <v>0.3685762268078846</v>
      </c>
    </row>
    <row r="275" spans="2:24" ht="13.5">
      <c r="B275" s="90">
        <v>270</v>
      </c>
      <c r="C275" s="90">
        <f>B275-Data!$D$10</f>
        <v>180</v>
      </c>
      <c r="D275" s="91">
        <f t="shared" si="80"/>
        <v>4.71238898038469</v>
      </c>
      <c r="E275" s="91">
        <f t="shared" si="81"/>
        <v>3.141592653589793</v>
      </c>
      <c r="F275" s="92">
        <f>Val!$D$11*(1-COS(D275))+Val!$D$12*(1-COS(E275))</f>
        <v>0.0014999998050900184</v>
      </c>
      <c r="G275" s="92">
        <f>Val!$D$11*((1-COS(Calc!D275))+1/Val!$D$18*(1-(1-(Val!$D$18*SIN(Calc!D275))^2)^0.5))+Val!$D$12*((1-COS(Calc!E275))+1/Val!$D$19*(1-(1-(Val!$D$19*SIN(Calc!E275))^2)^0.5))</f>
        <v>0.001554844428921206</v>
      </c>
      <c r="H275" s="92">
        <f t="shared" si="82"/>
        <v>-5.484462383118752E-05</v>
      </c>
      <c r="I275" s="92">
        <f>Val!$D$11*(1-COS(D275))+Val!$D$14+Val!$D$13+Val!$D$12*((1-COS(Calc!E275)))+Val!$D$15</f>
        <v>0.002199999805090018</v>
      </c>
      <c r="J275" s="92">
        <f>Val!$D$11*((1-COS(Calc!$D275))+1/Val!$D$18*(1-(1-(Val!$D$18*SIN(Calc!$D275))^2)^0.5))+Val!$D$14+Val!$D$13+Val!$D$12*((1-COS(Calc!$E275))+1/Val!$D$19*(1-(1-(Val!$D$19*SIN(Calc!$E275))^2)^0.5))+Val!$D$15</f>
        <v>0.002254844428921206</v>
      </c>
      <c r="K275" s="93">
        <f t="shared" si="83"/>
        <v>-5.484462383118817E-05</v>
      </c>
      <c r="L275" s="229">
        <f>Val!$D$42*Val!$D$22/Val!$D$37/(1-Val!$D$39*COS(D275-Val!$D$40))</f>
        <v>59132.76277881296</v>
      </c>
      <c r="M275" s="229">
        <f>Val!$D$42*Val!$D$22/(Val!$D$11*((1-COS(Calc!D275))+1/Val!$D$18*(1-(1-(Val!$D$18*SIN(Calc!D275))^2)^0.5))/Val!$D$25+Val!$D$14/Val!$D$25+Val!$D$13/Val!$D$27+Val!$D$12*((1-COS(Calc!E275))+1/Val!$D$19*(1-(1-(Val!$D$19*SIN(Calc!E275))^2)^0.5))/Val!$D$26+Val!$D$15/Val!$D$26)</f>
        <v>58413.727316635996</v>
      </c>
      <c r="N275" s="394">
        <f t="shared" si="76"/>
        <v>-0.5210311181500386</v>
      </c>
      <c r="O275" s="394">
        <f t="shared" si="77"/>
        <v>-0.5147109915532676</v>
      </c>
      <c r="P275" s="394">
        <f t="shared" si="78"/>
        <v>8.80235449666816E-06</v>
      </c>
      <c r="Q275" s="394">
        <f t="shared" si="79"/>
        <v>8.802756410914835E-06</v>
      </c>
      <c r="R275" s="91">
        <f t="shared" si="72"/>
        <v>0.8937198599026317</v>
      </c>
      <c r="S275" s="91">
        <f t="shared" si="73"/>
        <v>0.9159997389341739</v>
      </c>
      <c r="T275" s="91">
        <f t="shared" si="74"/>
        <v>0.3489065409039662</v>
      </c>
      <c r="U275" s="91">
        <f t="shared" si="75"/>
        <v>0.3446639490799743</v>
      </c>
      <c r="V275" s="403" t="s">
        <v>285</v>
      </c>
      <c r="W275" s="404">
        <f>1*(M275-Val!$D$28)*PI()/4*Val!$D$2^2*(SIN(D275)+Val!$D$18/2*SIN(2*D275)/(1-Val!$D$18^2*SIN(D275)^2)^0.5)*Val!$D$4*(D275-D274)+1*(M275-Val!$D$28)*PI()/4*Val!$D$3^2*(SIN(E275)+Val!$D$19/2*SIN(2*E275)/(1-Val!$D$19^2*SIN(E275)^2)^0.5)*Val!$D$5*(E275-E274)</f>
        <v>0.37425328248592515</v>
      </c>
      <c r="X275" s="405"/>
    </row>
    <row r="276" spans="2:23" ht="13.5">
      <c r="B276" s="32">
        <v>271</v>
      </c>
      <c r="C276" s="32">
        <f>B276-Data!$D$10</f>
        <v>181</v>
      </c>
      <c r="D276" s="30">
        <f t="shared" si="80"/>
        <v>4.729842272904633</v>
      </c>
      <c r="E276" s="30">
        <f t="shared" si="81"/>
        <v>3.1590459461097367</v>
      </c>
      <c r="F276" s="26">
        <f>Val!$D$11*(1-COS(D276))+Val!$D$12*(1-COS(E276))</f>
        <v>0.0014911974505933503</v>
      </c>
      <c r="G276" s="26">
        <f>Val!$D$11*((1-COS(Calc!D276))+1/Val!$D$18*(1-(1-(Val!$D$18*SIN(Calc!D276))^2)^0.5))+Val!$D$12*((1-COS(Calc!E276))+1/Val!$D$19*(1-(1-(Val!$D$19*SIN(Calc!E276))^2)^0.5))</f>
        <v>0.0015460416725102911</v>
      </c>
      <c r="H276" s="26">
        <f t="shared" si="82"/>
        <v>-5.484422191694084E-05</v>
      </c>
      <c r="I276" s="22">
        <f>Val!$D$11*(1-COS(D276))+Val!$D$14+Val!$D$13+Val!$D$12*((1-COS(Calc!E276)))+Val!$D$15</f>
        <v>0.00219119745059335</v>
      </c>
      <c r="J276" s="22">
        <f>Val!$D$11*((1-COS(Calc!$D276))+1/Val!$D$18*(1-(1-(Val!$D$18*SIN(Calc!$D276))^2)^0.5))+Val!$D$14+Val!$D$13+Val!$D$12*((1-COS(Calc!$E276))+1/Val!$D$19*(1-(1-(Val!$D$19*SIN(Calc!$E276))^2)^0.5))+Val!$D$15</f>
        <v>0.0022460416725102908</v>
      </c>
      <c r="K276" s="44">
        <f t="shared" si="83"/>
        <v>-5.4844221916940626E-05</v>
      </c>
      <c r="L276" s="50">
        <f>Val!$D$42*Val!$D$22/Val!$D$37/(1-Val!$D$39*COS(D276-Val!$D$40))</f>
        <v>59251.725904818966</v>
      </c>
      <c r="M276" s="50">
        <f>Val!$D$42*Val!$D$22/(Val!$D$11*((1-COS(Calc!D276))+1/Val!$D$18*(1-(1-(Val!$D$18*SIN(Calc!D276))^2)^0.5))/Val!$D$25+Val!$D$14/Val!$D$25+Val!$D$13/Val!$D$27+Val!$D$12*((1-COS(Calc!E276))+1/Val!$D$19*(1-(1-(Val!$D$19*SIN(Calc!E276))^2)^0.5))/Val!$D$26+Val!$D$15/Val!$D$26)</f>
        <v>58529.41356478944</v>
      </c>
      <c r="N276" s="16">
        <f t="shared" si="76"/>
        <v>-0.5309808912240488</v>
      </c>
      <c r="O276" s="16">
        <f t="shared" si="77"/>
        <v>-0.5245663227808921</v>
      </c>
      <c r="P276" s="16">
        <f t="shared" si="78"/>
        <v>8.951978038036724E-06</v>
      </c>
      <c r="Q276" s="16">
        <f t="shared" si="79"/>
        <v>8.95318182163058E-06</v>
      </c>
      <c r="R276" s="13">
        <f t="shared" si="72"/>
        <v>0.8901440236642038</v>
      </c>
      <c r="S276" s="13">
        <f t="shared" si="73"/>
        <v>0.9124237394235747</v>
      </c>
      <c r="T276" s="13">
        <f t="shared" si="74"/>
        <v>0.34960847010259233</v>
      </c>
      <c r="U276" s="13">
        <f t="shared" si="75"/>
        <v>0.3453465434113834</v>
      </c>
      <c r="W276" s="387">
        <f>1*(M276-Val!$D$28)*PI()/4*Val!$D$2^2*(SIN(D276)+Val!$D$18/2*SIN(2*D276)/(1-Val!$D$18^2*SIN(D276)^2)^0.5)*Val!$D$4*(D276-D275)+1*(M276-Val!$D$28)*PI()/4*Val!$D$3^2*(SIN(E276)+Val!$D$19/2*SIN(2*E276)/(1-Val!$D$19^2*SIN(E276)^2)^0.5)*Val!$D$5*(E276-E275)</f>
        <v>0.3797352503381145</v>
      </c>
    </row>
    <row r="277" spans="2:23" ht="13.5">
      <c r="B277" s="32">
        <v>272</v>
      </c>
      <c r="C277" s="32">
        <f>B277-Data!$D$10</f>
        <v>182</v>
      </c>
      <c r="D277" s="30">
        <f aca="true" t="shared" si="84" ref="D277:D319">PI()/180*B277</f>
        <v>4.747295565424577</v>
      </c>
      <c r="E277" s="30">
        <f aca="true" t="shared" si="85" ref="E277:E319">PI()/180*C277</f>
        <v>3.1764992386296798</v>
      </c>
      <c r="F277" s="26">
        <f>Val!$D$11*(1-COS(D277))+Val!$D$12*(1-COS(E277))</f>
        <v>0.0014822454725553135</v>
      </c>
      <c r="G277" s="26">
        <f>Val!$D$11*((1-COS(Calc!D277))+1/Val!$D$18*(1-(1-(Val!$D$18*SIN(Calc!D277))^2)^0.5))+Val!$D$12*((1-COS(Calc!E277))+1/Val!$D$19*(1-(1-(Val!$D$19*SIN(Calc!E277))^2)^0.5))</f>
        <v>0.0015370884906886605</v>
      </c>
      <c r="H277" s="26">
        <f aca="true" t="shared" si="86" ref="H277:H319">F277-G277</f>
        <v>-5.4843018133346987E-05</v>
      </c>
      <c r="I277" s="22">
        <f>Val!$D$11*(1-COS(D277))+Val!$D$14+Val!$D$13+Val!$D$12*((1-COS(Calc!E277)))+Val!$D$15</f>
        <v>0.002182245472555313</v>
      </c>
      <c r="J277" s="22">
        <f>Val!$D$11*((1-COS(Calc!$D277))+1/Val!$D$18*(1-(1-(Val!$D$18*SIN(Calc!$D277))^2)^0.5))+Val!$D$14+Val!$D$13+Val!$D$12*((1-COS(Calc!$E277))+1/Val!$D$19*(1-(1-(Val!$D$19*SIN(Calc!$E277))^2)^0.5))+Val!$D$15</f>
        <v>0.00223708849068866</v>
      </c>
      <c r="K277" s="44">
        <f aca="true" t="shared" si="87" ref="K277:K319">I277-J277</f>
        <v>-5.4843018133346987E-05</v>
      </c>
      <c r="L277" s="50">
        <f>Val!$D$42*Val!$D$22/Val!$D$37/(1-Val!$D$39*COS(D277-Val!$D$40))</f>
        <v>59377.00373859878</v>
      </c>
      <c r="M277" s="50">
        <f>Val!$D$42*Val!$D$22/(Val!$D$11*((1-COS(Calc!D277))+1/Val!$D$18*(1-(1-(Val!$D$18*SIN(Calc!D277))^2)^0.5))/Val!$D$25+Val!$D$14/Val!$D$25+Val!$D$13/Val!$D$27+Val!$D$12*((1-COS(Calc!E277))+1/Val!$D$19*(1-(1-(Val!$D$19*SIN(Calc!E277))^2)^0.5))/Val!$D$26+Val!$D$15/Val!$D$26)</f>
        <v>58650.45237148762</v>
      </c>
      <c r="N277" s="16">
        <f t="shared" si="76"/>
        <v>-0.5408627665972428</v>
      </c>
      <c r="O277" s="16">
        <f t="shared" si="77"/>
        <v>-0.5343456679535208</v>
      </c>
      <c r="P277" s="16">
        <f t="shared" si="78"/>
        <v>9.098874720174467E-06</v>
      </c>
      <c r="Q277" s="16">
        <f t="shared" si="79"/>
        <v>9.100874505243777E-06</v>
      </c>
      <c r="R277" s="13">
        <f t="shared" si="72"/>
        <v>0.8865074049065588</v>
      </c>
      <c r="S277" s="13">
        <f t="shared" si="73"/>
        <v>0.9087866316452933</v>
      </c>
      <c r="T277" s="13">
        <f t="shared" si="74"/>
        <v>0.3503476585589064</v>
      </c>
      <c r="U277" s="13">
        <f t="shared" si="75"/>
        <v>0.3460607199418826</v>
      </c>
      <c r="W277" s="387">
        <f>1*(M277-Val!$D$28)*PI()/4*Val!$D$2^2*(SIN(D277)+Val!$D$18/2*SIN(2*D277)/(1-Val!$D$18^2*SIN(D277)^2)^0.5)*Val!$D$4*(D277-D276)+1*(M277-Val!$D$28)*PI()/4*Val!$D$3^2*(SIN(E277)+Val!$D$19/2*SIN(2*E277)/(1-Val!$D$19^2*SIN(E277)^2)^0.5)*Val!$D$5*(E277-E276)</f>
        <v>0.3850182665983407</v>
      </c>
    </row>
    <row r="278" spans="2:23" ht="13.5">
      <c r="B278" s="32">
        <v>273</v>
      </c>
      <c r="C278" s="32">
        <f>B278-Data!$D$10</f>
        <v>183</v>
      </c>
      <c r="D278" s="30">
        <f t="shared" si="84"/>
        <v>4.76474885794452</v>
      </c>
      <c r="E278" s="30">
        <f t="shared" si="85"/>
        <v>3.193952531149623</v>
      </c>
      <c r="F278" s="26">
        <f>Val!$D$11*(1-COS(D278))+Val!$D$12*(1-COS(E278))</f>
        <v>0.001473146597835139</v>
      </c>
      <c r="G278" s="26">
        <f>Val!$D$11*((1-COS(Calc!D278))+1/Val!$D$18*(1-(1-(Val!$D$18*SIN(Calc!D278))^2)^0.5))+Val!$D$12*((1-COS(Calc!E278))+1/Val!$D$19*(1-(1-(Val!$D$19*SIN(Calc!E278))^2)^0.5))</f>
        <v>0.0015279876161834168</v>
      </c>
      <c r="H278" s="26">
        <f t="shared" si="86"/>
        <v>-5.4841018348277676E-05</v>
      </c>
      <c r="I278" s="22">
        <f>Val!$D$11*(1-COS(D278))+Val!$D$14+Val!$D$13+Val!$D$12*((1-COS(Calc!E278)))+Val!$D$15</f>
        <v>0.0021731465978351385</v>
      </c>
      <c r="J278" s="22">
        <f>Val!$D$11*((1-COS(Calc!$D278))+1/Val!$D$18*(1-(1-(Val!$D$18*SIN(Calc!$D278))^2)^0.5))+Val!$D$14+Val!$D$13+Val!$D$12*((1-COS(Calc!$E278))+1/Val!$D$19*(1-(1-(Val!$D$19*SIN(Calc!$E278))^2)^0.5))+Val!$D$15</f>
        <v>0.002227987616183416</v>
      </c>
      <c r="K278" s="44">
        <f t="shared" si="87"/>
        <v>-5.4841018348277676E-05</v>
      </c>
      <c r="L278" s="50">
        <f>Val!$D$42*Val!$D$22/Val!$D$37/(1-Val!$D$39*COS(D278-Val!$D$40))</f>
        <v>59508.635031215854</v>
      </c>
      <c r="M278" s="50">
        <f>Val!$D$42*Val!$D$22/(Val!$D$11*((1-COS(Calc!D278))+1/Val!$D$18*(1-(1-(Val!$D$18*SIN(Calc!D278))^2)^0.5))/Val!$D$25+Val!$D$14/Val!$D$25+Val!$D$13/Val!$D$27+Val!$D$12*((1-COS(Calc!E278))+1/Val!$D$19*(1-(1-(Val!$D$19*SIN(Calc!E278))^2)^0.5))/Val!$D$26+Val!$D$15/Val!$D$26)</f>
        <v>58776.87126551598</v>
      </c>
      <c r="N278" s="16">
        <f t="shared" si="76"/>
        <v>-0.5506761861758054</v>
      </c>
      <c r="O278" s="16">
        <f t="shared" si="77"/>
        <v>-0.5440477918911468</v>
      </c>
      <c r="P278" s="16">
        <f t="shared" si="78"/>
        <v>9.242999796929942E-06</v>
      </c>
      <c r="Q278" s="16">
        <f t="shared" si="79"/>
        <v>9.24578583552378E-06</v>
      </c>
      <c r="R278" s="13">
        <f t="shared" si="72"/>
        <v>0.8828111113789994</v>
      </c>
      <c r="S278" s="13">
        <f t="shared" si="73"/>
        <v>0.9050895257323747</v>
      </c>
      <c r="T278" s="13">
        <f t="shared" si="74"/>
        <v>0.35112433491941286</v>
      </c>
      <c r="U278" s="13">
        <f t="shared" si="75"/>
        <v>0.3468066411021255</v>
      </c>
      <c r="W278" s="387">
        <f>1*(M278-Val!$D$28)*PI()/4*Val!$D$2^2*(SIN(D278)+Val!$D$18/2*SIN(2*D278)/(1-Val!$D$18^2*SIN(D278)^2)^0.5)*Val!$D$4*(D278-D277)+1*(M278-Val!$D$28)*PI()/4*Val!$D$3^2*(SIN(E278)+Val!$D$19/2*SIN(2*E278)/(1-Val!$D$19^2*SIN(E278)^2)^0.5)*Val!$D$5*(E278-E277)</f>
        <v>0.39009858217175525</v>
      </c>
    </row>
    <row r="279" spans="2:23" ht="13.5">
      <c r="B279" s="32">
        <v>274</v>
      </c>
      <c r="C279" s="32">
        <f>B279-Data!$D$10</f>
        <v>184</v>
      </c>
      <c r="D279" s="30">
        <f t="shared" si="84"/>
        <v>4.782202150464463</v>
      </c>
      <c r="E279" s="30">
        <f t="shared" si="85"/>
        <v>3.2114058236695664</v>
      </c>
      <c r="F279" s="26">
        <f>Val!$D$11*(1-COS(D279))+Val!$D$12*(1-COS(E279))</f>
        <v>0.0014639035980382091</v>
      </c>
      <c r="G279" s="26">
        <f>Val!$D$11*((1-COS(Calc!D279))+1/Val!$D$18*(1-(1-(Val!$D$18*SIN(Calc!D279))^2)^0.5))+Val!$D$12*((1-COS(Calc!E279))+1/Val!$D$19*(1-(1-(Val!$D$19*SIN(Calc!E279))^2)^0.5))</f>
        <v>0.001518741830347893</v>
      </c>
      <c r="H279" s="26">
        <f t="shared" si="86"/>
        <v>-5.483823230968384E-05</v>
      </c>
      <c r="I279" s="22">
        <f>Val!$D$11*(1-COS(D279))+Val!$D$14+Val!$D$13+Val!$D$12*((1-COS(Calc!E279)))+Val!$D$15</f>
        <v>0.002163903598038209</v>
      </c>
      <c r="J279" s="22">
        <f>Val!$D$11*((1-COS(Calc!$D279))+1/Val!$D$18*(1-(1-(Val!$D$18*SIN(Calc!$D279))^2)^0.5))+Val!$D$14+Val!$D$13+Val!$D$12*((1-COS(Calc!$E279))+1/Val!$D$19*(1-(1-(Val!$D$19*SIN(Calc!$E279))^2)^0.5))+Val!$D$15</f>
        <v>0.002218741830347893</v>
      </c>
      <c r="K279" s="44">
        <f t="shared" si="87"/>
        <v>-5.483823230968427E-05</v>
      </c>
      <c r="L279" s="50">
        <f>Val!$D$42*Val!$D$22/Val!$D$37/(1-Val!$D$39*COS(D279-Val!$D$40))</f>
        <v>59646.66049496712</v>
      </c>
      <c r="M279" s="50">
        <f>Val!$D$42*Val!$D$22/(Val!$D$11*((1-COS(Calc!D279))+1/Val!$D$18*(1-(1-(Val!$D$18*SIN(Calc!D279))^2)^0.5))/Val!$D$25+Val!$D$14/Val!$D$25+Val!$D$13/Val!$D$27+Val!$D$12*((1-COS(Calc!E279))+1/Val!$D$19*(1-(1-(Val!$D$19*SIN(Calc!E279))^2)^0.5))/Val!$D$26+Val!$D$15/Val!$D$26)</f>
        <v>58908.6995598144</v>
      </c>
      <c r="N279" s="16">
        <f t="shared" si="76"/>
        <v>-0.5604205543070734</v>
      </c>
      <c r="O279" s="16">
        <f t="shared" si="77"/>
        <v>-0.5536714308239675</v>
      </c>
      <c r="P279" s="16">
        <f t="shared" si="78"/>
        <v>9.384309366408444E-06</v>
      </c>
      <c r="Q279" s="16">
        <f t="shared" si="79"/>
        <v>9.387868078091204E-06</v>
      </c>
      <c r="R279" s="13">
        <f t="shared" si="72"/>
        <v>0.879056269008341</v>
      </c>
      <c r="S279" s="13">
        <f t="shared" si="73"/>
        <v>0.9013335515716063</v>
      </c>
      <c r="T279" s="13">
        <f t="shared" si="74"/>
        <v>0.35193873940266446</v>
      </c>
      <c r="U279" s="13">
        <f t="shared" si="75"/>
        <v>0.347584479849978</v>
      </c>
      <c r="W279" s="387">
        <f>1*(M279-Val!$D$28)*PI()/4*Val!$D$2^2*(SIN(D279)+Val!$D$18/2*SIN(2*D279)/(1-Val!$D$18^2*SIN(D279)^2)^0.5)*Val!$D$4*(D279-D278)+1*(M279-Val!$D$28)*PI()/4*Val!$D$3^2*(SIN(E279)+Val!$D$19/2*SIN(2*E279)/(1-Val!$D$19^2*SIN(E279)^2)^0.5)*Val!$D$5*(E279-E278)</f>
        <v>0.39497256548409365</v>
      </c>
    </row>
    <row r="280" spans="2:23" ht="13.5">
      <c r="B280" s="32">
        <v>275</v>
      </c>
      <c r="C280" s="32">
        <f>B280-Data!$D$10</f>
        <v>185</v>
      </c>
      <c r="D280" s="30">
        <f t="shared" si="84"/>
        <v>4.799655442984406</v>
      </c>
      <c r="E280" s="30">
        <f t="shared" si="85"/>
        <v>3.2288591161895095</v>
      </c>
      <c r="F280" s="26">
        <f>Val!$D$11*(1-COS(D280))+Val!$D$12*(1-COS(E280))</f>
        <v>0.0014545192886718007</v>
      </c>
      <c r="G280" s="26">
        <f>Val!$D$11*((1-COS(Calc!D280))+1/Val!$D$18*(1-(1-(Val!$D$18*SIN(Calc!D280))^2)^0.5))+Val!$D$12*((1-COS(Calc!E280))+1/Val!$D$19*(1-(1-(Val!$D$19*SIN(Calc!E280))^2)^0.5))</f>
        <v>0.0015093539622698018</v>
      </c>
      <c r="H280" s="26">
        <f t="shared" si="86"/>
        <v>-5.483467359800108E-05</v>
      </c>
      <c r="I280" s="22">
        <f>Val!$D$11*(1-COS(D280))+Val!$D$14+Val!$D$13+Val!$D$12*((1-COS(Calc!E280)))+Val!$D$15</f>
        <v>0.0021545192886718</v>
      </c>
      <c r="J280" s="22">
        <f>Val!$D$11*((1-COS(Calc!$D280))+1/Val!$D$18*(1-(1-(Val!$D$18*SIN(Calc!$D280))^2)^0.5))+Val!$D$14+Val!$D$13+Val!$D$12*((1-COS(Calc!$E280))+1/Val!$D$19*(1-(1-(Val!$D$19*SIN(Calc!$E280))^2)^0.5))+Val!$D$15</f>
        <v>0.0022093539622698014</v>
      </c>
      <c r="K280" s="44">
        <f t="shared" si="87"/>
        <v>-5.4834673598001295E-05</v>
      </c>
      <c r="L280" s="50">
        <f>Val!$D$42*Val!$D$22/Val!$D$37/(1-Val!$D$39*COS(D280-Val!$D$40))</f>
        <v>59791.12281450283</v>
      </c>
      <c r="M280" s="50">
        <f>Val!$D$42*Val!$D$22/(Val!$D$11*((1-COS(Calc!D280))+1/Val!$D$18*(1-(1-(Val!$D$18*SIN(Calc!D280))^2)^0.5))/Val!$D$25+Val!$D$14/Val!$D$25+Val!$D$13/Val!$D$27+Val!$D$12*((1-COS(Calc!E280))+1/Val!$D$19*(1-(1-(Val!$D$19*SIN(Calc!E280))^2)^0.5))/Val!$D$26+Val!$D$15/Val!$D$26)</f>
        <v>59045.96836230187</v>
      </c>
      <c r="N280" s="16">
        <f t="shared" si="76"/>
        <v>-0.5700952367013312</v>
      </c>
      <c r="O280" s="16">
        <f t="shared" si="77"/>
        <v>-0.5632152928373312</v>
      </c>
      <c r="P280" s="16">
        <f t="shared" si="78"/>
        <v>9.522760384346072E-06</v>
      </c>
      <c r="Q280" s="16">
        <f t="shared" si="79"/>
        <v>9.527074422499473E-06</v>
      </c>
      <c r="R280" s="13">
        <f t="shared" si="72"/>
        <v>0.8752440215559434</v>
      </c>
      <c r="S280" s="13">
        <f t="shared" si="73"/>
        <v>0.897519858441214</v>
      </c>
      <c r="T280" s="13">
        <f t="shared" si="74"/>
        <v>0.35279112386487377</v>
      </c>
      <c r="U280" s="13">
        <f t="shared" si="75"/>
        <v>0.3483944197343883</v>
      </c>
      <c r="W280" s="387">
        <f>1*(M280-Val!$D$28)*PI()/4*Val!$D$2^2*(SIN(D280)+Val!$D$18/2*SIN(2*D280)/(1-Val!$D$18^2*SIN(D280)^2)^0.5)*Val!$D$4*(D280-D279)+1*(M280-Val!$D$28)*PI()/4*Val!$D$3^2*(SIN(E280)+Val!$D$19/2*SIN(2*E280)/(1-Val!$D$19^2*SIN(E280)^2)^0.5)*Val!$D$5*(E280-E279)</f>
        <v>0.3996367053021437</v>
      </c>
    </row>
    <row r="281" spans="2:23" ht="13.5">
      <c r="B281" s="32">
        <v>276</v>
      </c>
      <c r="C281" s="32">
        <f>B281-Data!$D$10</f>
        <v>186</v>
      </c>
      <c r="D281" s="30">
        <f t="shared" si="84"/>
        <v>4.817108735504349</v>
      </c>
      <c r="E281" s="30">
        <f t="shared" si="85"/>
        <v>3.246312408709453</v>
      </c>
      <c r="F281" s="26">
        <f>Val!$D$11*(1-COS(D281))+Val!$D$12*(1-COS(E281))</f>
        <v>0.0014449965282874546</v>
      </c>
      <c r="G281" s="26">
        <f>Val!$D$11*((1-COS(Calc!D281))+1/Val!$D$18*(1-(1-(Val!$D$18*SIN(Calc!D281))^2)^0.5))+Val!$D$12*((1-COS(Calc!E281))+1/Val!$D$19*(1-(1-(Val!$D$19*SIN(Calc!E281))^2)^0.5))</f>
        <v>0.0014998268878473023</v>
      </c>
      <c r="H281" s="26">
        <f t="shared" si="86"/>
        <v>-5.483035955984768E-05</v>
      </c>
      <c r="I281" s="22">
        <f>Val!$D$11*(1-COS(D281))+Val!$D$14+Val!$D$13+Val!$D$12*((1-COS(Calc!E281)))+Val!$D$15</f>
        <v>0.0021449965282874543</v>
      </c>
      <c r="J281" s="22">
        <f>Val!$D$11*((1-COS(Calc!$D281))+1/Val!$D$18*(1-(1-(Val!$D$18*SIN(Calc!$D281))^2)^0.5))+Val!$D$14+Val!$D$13+Val!$D$12*((1-COS(Calc!$E281))+1/Val!$D$19*(1-(1-(Val!$D$19*SIN(Calc!$E281))^2)^0.5))+Val!$D$15</f>
        <v>0.002199826887847302</v>
      </c>
      <c r="K281" s="44">
        <f t="shared" si="87"/>
        <v>-5.483035955984768E-05</v>
      </c>
      <c r="L281" s="50">
        <f>Val!$D$42*Val!$D$22/Val!$D$37/(1-Val!$D$39*COS(D281-Val!$D$40))</f>
        <v>59942.06665826634</v>
      </c>
      <c r="M281" s="50">
        <f>Val!$D$42*Val!$D$22/(Val!$D$11*((1-COS(Calc!D281))+1/Val!$D$18*(1-(1-(Val!$D$18*SIN(Calc!D281))^2)^0.5))/Val!$D$25+Val!$D$14/Val!$D$25+Val!$D$13/Val!$D$27+Val!$D$12*((1-COS(Calc!E281))+1/Val!$D$19*(1-(1-(Val!$D$19*SIN(Calc!E281))^2)^0.5))/Val!$D$26+Val!$D$15/Val!$D$26)</f>
        <v>59188.710587454676</v>
      </c>
      <c r="N281" s="16">
        <f t="shared" si="76"/>
        <v>-0.5796995593240817</v>
      </c>
      <c r="O281" s="16">
        <f t="shared" si="77"/>
        <v>-0.5726780582947992</v>
      </c>
      <c r="P281" s="16">
        <f t="shared" si="78"/>
        <v>9.658310677222075E-06</v>
      </c>
      <c r="Q281" s="16">
        <f t="shared" si="79"/>
        <v>9.663359013728284E-06</v>
      </c>
      <c r="R281" s="13">
        <f t="shared" si="72"/>
        <v>0.8713755302693109</v>
      </c>
      <c r="S281" s="13">
        <f t="shared" si="73"/>
        <v>0.8936496146355288</v>
      </c>
      <c r="T281" s="13">
        <f t="shared" si="74"/>
        <v>0.35368175186741224</v>
      </c>
      <c r="U281" s="13">
        <f t="shared" si="75"/>
        <v>0.34923665496370254</v>
      </c>
      <c r="W281" s="387">
        <f>1*(M281-Val!$D$28)*PI()/4*Val!$D$2^2*(SIN(D281)+Val!$D$18/2*SIN(2*D281)/(1-Val!$D$18^2*SIN(D281)^2)^0.5)*Val!$D$4*(D281-D280)+1*(M281-Val!$D$28)*PI()/4*Val!$D$3^2*(SIN(E281)+Val!$D$19/2*SIN(2*E281)/(1-Val!$D$19^2*SIN(E281)^2)^0.5)*Val!$D$5*(E281-E280)</f>
        <v>0.4040876135207738</v>
      </c>
    </row>
    <row r="282" spans="2:23" ht="13.5">
      <c r="B282" s="32">
        <v>277</v>
      </c>
      <c r="C282" s="32">
        <f>B282-Data!$D$10</f>
        <v>187</v>
      </c>
      <c r="D282" s="30">
        <f t="shared" si="84"/>
        <v>4.834562028024293</v>
      </c>
      <c r="E282" s="30">
        <f t="shared" si="85"/>
        <v>3.263765701229396</v>
      </c>
      <c r="F282" s="26">
        <f>Val!$D$11*(1-COS(D282))+Val!$D$12*(1-COS(E282))</f>
        <v>0.0014353382176102325</v>
      </c>
      <c r="G282" s="26">
        <f>Val!$D$11*((1-COS(Calc!D282))+1/Val!$D$18*(1-(1-(Val!$D$18*SIN(Calc!D282))^2)^0.5))+Val!$D$12*((1-COS(Calc!E282))+1/Val!$D$19*(1-(1-(Val!$D$19*SIN(Calc!E282))^2)^0.5))</f>
        <v>0.001490163528833574</v>
      </c>
      <c r="H282" s="26">
        <f t="shared" si="86"/>
        <v>-5.482531122334147E-05</v>
      </c>
      <c r="I282" s="22">
        <f>Val!$D$11*(1-COS(D282))+Val!$D$14+Val!$D$13+Val!$D$12*((1-COS(Calc!E282)))+Val!$D$15</f>
        <v>0.0021353382176102324</v>
      </c>
      <c r="J282" s="22">
        <f>Val!$D$11*((1-COS(Calc!$D282))+1/Val!$D$18*(1-(1-(Val!$D$18*SIN(Calc!$D282))^2)^0.5))+Val!$D$14+Val!$D$13+Val!$D$12*((1-COS(Calc!$E282))+1/Val!$D$19*(1-(1-(Val!$D$19*SIN(Calc!$E282))^2)^0.5))+Val!$D$15</f>
        <v>0.002190163528833574</v>
      </c>
      <c r="K282" s="44">
        <f t="shared" si="87"/>
        <v>-5.482531122334147E-05</v>
      </c>
      <c r="L282" s="50">
        <f>Val!$D$42*Val!$D$22/Val!$D$37/(1-Val!$D$39*COS(D282-Val!$D$40))</f>
        <v>60099.53869022262</v>
      </c>
      <c r="M282" s="50">
        <f>Val!$D$42*Val!$D$22/(Val!$D$11*((1-COS(Calc!D282))+1/Val!$D$18*(1-(1-(Val!$D$18*SIN(Calc!D282))^2)^0.5))/Val!$D$25+Val!$D$14/Val!$D$25+Val!$D$13/Val!$D$27+Val!$D$12*((1-COS(Calc!E282))+1/Val!$D$19*(1-(1-(Val!$D$19*SIN(Calc!E282))^2)^0.5))/Val!$D$26+Val!$D$15/Val!$D$26)</f>
        <v>59336.960968623294</v>
      </c>
      <c r="N282" s="16">
        <f t="shared" si="76"/>
        <v>-0.5892328072563052</v>
      </c>
      <c r="O282" s="16">
        <f t="shared" si="77"/>
        <v>-0.5820583802324711</v>
      </c>
      <c r="P282" s="16">
        <f t="shared" si="78"/>
        <v>9.790918955102958E-06</v>
      </c>
      <c r="Q282" s="16">
        <f t="shared" si="79"/>
        <v>9.796676982997722E-06</v>
      </c>
      <c r="R282" s="13">
        <f t="shared" si="72"/>
        <v>0.867451973528364</v>
      </c>
      <c r="S282" s="13">
        <f t="shared" si="73"/>
        <v>0.8897240070768571</v>
      </c>
      <c r="T282" s="13">
        <f t="shared" si="74"/>
        <v>0.35461089874601315</v>
      </c>
      <c r="U282" s="13">
        <f t="shared" si="75"/>
        <v>0.3501113904783396</v>
      </c>
      <c r="W282" s="387">
        <f>1*(M282-Val!$D$28)*PI()/4*Val!$D$2^2*(SIN(D282)+Val!$D$18/2*SIN(2*D282)/(1-Val!$D$18^2*SIN(D282)^2)^0.5)*Val!$D$4*(D282-D281)+1*(M282-Val!$D$28)*PI()/4*Val!$D$3^2*(SIN(E282)+Val!$D$19/2*SIN(2*E282)/(1-Val!$D$19^2*SIN(E282)^2)^0.5)*Val!$D$5*(E282-E281)</f>
        <v>0.4083220279110391</v>
      </c>
    </row>
    <row r="283" spans="2:23" ht="13.5">
      <c r="B283" s="32">
        <v>278</v>
      </c>
      <c r="C283" s="32">
        <f>B283-Data!$D$10</f>
        <v>188</v>
      </c>
      <c r="D283" s="30">
        <f t="shared" si="84"/>
        <v>4.852015320544236</v>
      </c>
      <c r="E283" s="30">
        <f t="shared" si="85"/>
        <v>3.2812189937493397</v>
      </c>
      <c r="F283" s="26">
        <f>Val!$D$11*(1-COS(D283))+Val!$D$12*(1-COS(E283))</f>
        <v>0.0014255472986551296</v>
      </c>
      <c r="G283" s="26">
        <f>Val!$D$11*((1-COS(Calc!D283))+1/Val!$D$18*(1-(1-(Val!$D$18*SIN(Calc!D283))^2)^0.5))+Val!$D$12*((1-COS(Calc!E283))+1/Val!$D$19*(1-(1-(Val!$D$19*SIN(Calc!E283))^2)^0.5))</f>
        <v>0.0014803668518505763</v>
      </c>
      <c r="H283" s="26">
        <f t="shared" si="86"/>
        <v>-5.4819553195446704E-05</v>
      </c>
      <c r="I283" s="22">
        <f>Val!$D$11*(1-COS(D283))+Val!$D$14+Val!$D$13+Val!$D$12*((1-COS(Calc!E283)))+Val!$D$15</f>
        <v>0.0021255472986551295</v>
      </c>
      <c r="J283" s="22">
        <f>Val!$D$11*((1-COS(Calc!$D283))+1/Val!$D$18*(1-(1-(Val!$D$18*SIN(Calc!$D283))^2)^0.5))+Val!$D$14+Val!$D$13+Val!$D$12*((1-COS(Calc!$E283))+1/Val!$D$19*(1-(1-(Val!$D$19*SIN(Calc!$E283))^2)^0.5))+Val!$D$15</f>
        <v>0.002180366851850576</v>
      </c>
      <c r="K283" s="44">
        <f t="shared" si="87"/>
        <v>-5.4819553195446704E-05</v>
      </c>
      <c r="L283" s="50">
        <f>Val!$D$42*Val!$D$22/Val!$D$37/(1-Val!$D$39*COS(D283-Val!$D$40))</f>
        <v>60263.58758184222</v>
      </c>
      <c r="M283" s="50">
        <f>Val!$D$42*Val!$D$22/(Val!$D$11*((1-COS(Calc!D283))+1/Val!$D$18*(1-(1-(Val!$D$18*SIN(Calc!D283))^2)^0.5))/Val!$D$25+Val!$D$14/Val!$D$25+Val!$D$13/Val!$D$27+Val!$D$12*((1-COS(Calc!E283))+1/Val!$D$19*(1-(1-(Val!$D$19*SIN(Calc!E283))^2)^0.5))/Val!$D$26+Val!$D$15/Val!$D$26)</f>
        <v>59490.75607107129</v>
      </c>
      <c r="N283" s="16">
        <f t="shared" si="76"/>
        <v>-0.5986942235231055</v>
      </c>
      <c r="O283" s="16">
        <f t="shared" si="77"/>
        <v>-0.5913548847215743</v>
      </c>
      <c r="P283" s="16">
        <f t="shared" si="78"/>
        <v>9.920544824222914E-06</v>
      </c>
      <c r="Q283" s="16">
        <f t="shared" si="79"/>
        <v>9.926984477812584E-06</v>
      </c>
      <c r="R283" s="13">
        <f t="shared" si="72"/>
        <v>0.8634745464864946</v>
      </c>
      <c r="S283" s="13">
        <f t="shared" si="73"/>
        <v>0.8857442409148333</v>
      </c>
      <c r="T283" s="13">
        <f t="shared" si="74"/>
        <v>0.35557885168148184</v>
      </c>
      <c r="U283" s="13">
        <f t="shared" si="75"/>
        <v>0.35101884202772554</v>
      </c>
      <c r="W283" s="387">
        <f>1*(M283-Val!$D$28)*PI()/4*Val!$D$2^2*(SIN(D283)+Val!$D$18/2*SIN(2*D283)/(1-Val!$D$18^2*SIN(D283)^2)^0.5)*Val!$D$4*(D283-D282)+1*(M283-Val!$D$28)*PI()/4*Val!$D$3^2*(SIN(E283)+Val!$D$19/2*SIN(2*E283)/(1-Val!$D$19^2*SIN(E283)^2)^0.5)*Val!$D$5*(E283-E282)</f>
        <v>0.41233681482456574</v>
      </c>
    </row>
    <row r="284" spans="2:23" ht="13.5">
      <c r="B284" s="32">
        <v>279</v>
      </c>
      <c r="C284" s="32">
        <f>B284-Data!$D$10</f>
        <v>189</v>
      </c>
      <c r="D284" s="30">
        <f t="shared" si="84"/>
        <v>4.869468613064179</v>
      </c>
      <c r="E284" s="30">
        <f t="shared" si="85"/>
        <v>3.2986722862692828</v>
      </c>
      <c r="F284" s="26">
        <f>Val!$D$11*(1-COS(D284))+Val!$D$12*(1-COS(E284))</f>
        <v>0.0014156267538309067</v>
      </c>
      <c r="G284" s="26">
        <f>Val!$D$11*((1-COS(Calc!D284))+1/Val!$D$18*(1-(1-(Val!$D$18*SIN(Calc!D284))^2)^0.5))+Val!$D$12*((1-COS(Calc!E284))+1/Val!$D$19*(1-(1-(Val!$D$19*SIN(Calc!E284))^2)^0.5))</f>
        <v>0.0014704398673727637</v>
      </c>
      <c r="H284" s="26">
        <f t="shared" si="86"/>
        <v>-5.481311354185703E-05</v>
      </c>
      <c r="I284" s="22">
        <f>Val!$D$11*(1-COS(D284))+Val!$D$14+Val!$D$13+Val!$D$12*((1-COS(Calc!E284)))+Val!$D$15</f>
        <v>0.0021156267538309063</v>
      </c>
      <c r="J284" s="22">
        <f>Val!$D$11*((1-COS(Calc!$D284))+1/Val!$D$18*(1-(1-(Val!$D$18*SIN(Calc!$D284))^2)^0.5))+Val!$D$14+Val!$D$13+Val!$D$12*((1-COS(Calc!$E284))+1/Val!$D$19*(1-(1-(Val!$D$19*SIN(Calc!$E284))^2)^0.5))+Val!$D$15</f>
        <v>0.0021704398673727636</v>
      </c>
      <c r="K284" s="44">
        <f t="shared" si="87"/>
        <v>-5.481311354185725E-05</v>
      </c>
      <c r="L284" s="50">
        <f>Val!$D$42*Val!$D$22/Val!$D$37/(1-Val!$D$39*COS(D284-Val!$D$40))</f>
        <v>60434.264024304575</v>
      </c>
      <c r="M284" s="50">
        <f>Val!$D$42*Val!$D$22/(Val!$D$11*((1-COS(Calc!D284))+1/Val!$D$18*(1-(1-(Val!$D$18*SIN(Calc!D284))^2)^0.5))/Val!$D$25+Val!$D$14/Val!$D$25+Val!$D$13/Val!$D$27+Val!$D$12*((1-COS(Calc!E284))+1/Val!$D$19*(1-(1-(Val!$D$19*SIN(Calc!E284))^2)^0.5))/Val!$D$26+Val!$D$15/Val!$D$26)</f>
        <v>59650.13430571704</v>
      </c>
      <c r="N284" s="16">
        <f t="shared" si="76"/>
        <v>-0.6080830078886467</v>
      </c>
      <c r="O284" s="16">
        <f t="shared" si="77"/>
        <v>-0.6005661711936654</v>
      </c>
      <c r="P284" s="16">
        <f t="shared" si="78"/>
        <v>1.0047148799288003E-05</v>
      </c>
      <c r="Q284" s="16">
        <f t="shared" si="79"/>
        <v>1.005423869113631E-05</v>
      </c>
      <c r="R284" s="13">
        <f t="shared" si="72"/>
        <v>0.8594444607065098</v>
      </c>
      <c r="S284" s="13">
        <f t="shared" si="73"/>
        <v>0.8817115391135696</v>
      </c>
      <c r="T284" s="13">
        <f t="shared" si="74"/>
        <v>0.3565859097716997</v>
      </c>
      <c r="U284" s="13">
        <f t="shared" si="75"/>
        <v>0.35195923625137493</v>
      </c>
      <c r="W284" s="387">
        <f>1*(M284-Val!$D$28)*PI()/4*Val!$D$2^2*(SIN(D284)+Val!$D$18/2*SIN(2*D284)/(1-Val!$D$18^2*SIN(D284)^2)^0.5)*Val!$D$4*(D284-D283)+1*(M284-Val!$D$28)*PI()/4*Val!$D$3^2*(SIN(E284)+Val!$D$19/2*SIN(2*E284)/(1-Val!$D$19^2*SIN(E284)^2)^0.5)*Val!$D$5*(E284-E283)</f>
        <v>0.41612897184997266</v>
      </c>
    </row>
    <row r="285" spans="2:23" ht="13.5">
      <c r="B285" s="32">
        <v>280</v>
      </c>
      <c r="C285" s="32">
        <f>B285-Data!$D$10</f>
        <v>190</v>
      </c>
      <c r="D285" s="30">
        <f t="shared" si="84"/>
        <v>4.886921905584122</v>
      </c>
      <c r="E285" s="30">
        <f t="shared" si="85"/>
        <v>3.3161255787892263</v>
      </c>
      <c r="F285" s="26">
        <f>Val!$D$11*(1-COS(D285))+Val!$D$12*(1-COS(E285))</f>
        <v>0.0014055796050316187</v>
      </c>
      <c r="G285" s="26">
        <f>Val!$D$11*((1-COS(Calc!D285))+1/Val!$D$18*(1-(1-(Val!$D$18*SIN(Calc!D285))^2)^0.5))+Val!$D$12*((1-COS(Calc!E285))+1/Val!$D$19*(1-(1-(Val!$D$19*SIN(Calc!E285))^2)^0.5))</f>
        <v>0.0014603856286816274</v>
      </c>
      <c r="H285" s="26">
        <f t="shared" si="86"/>
        <v>-5.4806023650008726E-05</v>
      </c>
      <c r="I285" s="22">
        <f>Val!$D$11*(1-COS(D285))+Val!$D$14+Val!$D$13+Val!$D$12*((1-COS(Calc!E285)))+Val!$D$15</f>
        <v>0.0021055796050316183</v>
      </c>
      <c r="J285" s="22">
        <f>Val!$D$11*((1-COS(Calc!$D285))+1/Val!$D$18*(1-(1-(Val!$D$18*SIN(Calc!$D285))^2)^0.5))+Val!$D$14+Val!$D$13+Val!$D$12*((1-COS(Calc!$E285))+1/Val!$D$19*(1-(1-(Val!$D$19*SIN(Calc!$E285))^2)^0.5))+Val!$D$15</f>
        <v>0.002160385628681627</v>
      </c>
      <c r="K285" s="44">
        <f t="shared" si="87"/>
        <v>-5.4806023650008726E-05</v>
      </c>
      <c r="L285" s="50">
        <f>Val!$D$42*Val!$D$22/Val!$D$37/(1-Val!$D$39*COS(D285-Val!$D$40))</f>
        <v>60611.62074088152</v>
      </c>
      <c r="M285" s="50">
        <f>Val!$D$42*Val!$D$22/(Val!$D$11*((1-COS(Calc!D285))+1/Val!$D$18*(1-(1-(Val!$D$18*SIN(Calc!D285))^2)^0.5))/Val!$D$25+Val!$D$14/Val!$D$25+Val!$D$13/Val!$D$27+Val!$D$12*((1-COS(Calc!E285))+1/Val!$D$19*(1-(1-(Val!$D$19*SIN(Calc!E285))^2)^0.5))/Val!$D$26+Val!$D$15/Val!$D$26)</f>
        <v>59815.13594355684</v>
      </c>
      <c r="N285" s="16">
        <f t="shared" si="76"/>
        <v>-0.6173983156164382</v>
      </c>
      <c r="O285" s="16">
        <f t="shared" si="77"/>
        <v>-0.6096908127243</v>
      </c>
      <c r="P285" s="16">
        <f t="shared" si="78"/>
        <v>1.0170692315499951E-05</v>
      </c>
      <c r="Q285" s="16">
        <f t="shared" si="79"/>
        <v>1.0178397889621868E-05</v>
      </c>
      <c r="R285" s="13">
        <f t="shared" si="72"/>
        <v>0.8553629437915784</v>
      </c>
      <c r="S285" s="13">
        <f t="shared" si="73"/>
        <v>0.8776271420269515</v>
      </c>
      <c r="T285" s="13">
        <f t="shared" si="74"/>
        <v>0.3576323841046919</v>
      </c>
      <c r="U285" s="13">
        <f t="shared" si="75"/>
        <v>0.3529328107639935</v>
      </c>
      <c r="W285" s="387">
        <f>1*(M285-Val!$D$28)*PI()/4*Val!$D$2^2*(SIN(D285)+Val!$D$18/2*SIN(2*D285)/(1-Val!$D$18^2*SIN(D285)^2)^0.5)*Val!$D$4*(D285-D284)+1*(M285-Val!$D$28)*PI()/4*Val!$D$3^2*(SIN(E285)+Val!$D$19/2*SIN(2*E285)/(1-Val!$D$19^2*SIN(E285)^2)^0.5)*Val!$D$5*(E285-E284)</f>
        <v>0.41969563041644625</v>
      </c>
    </row>
    <row r="286" spans="2:23" ht="13.5">
      <c r="B286" s="32">
        <v>281</v>
      </c>
      <c r="C286" s="32">
        <f>B286-Data!$D$10</f>
        <v>191</v>
      </c>
      <c r="D286" s="30">
        <f t="shared" si="84"/>
        <v>4.904375198104066</v>
      </c>
      <c r="E286" s="30">
        <f t="shared" si="85"/>
        <v>3.3335788713091694</v>
      </c>
      <c r="F286" s="26">
        <f>Val!$D$11*(1-COS(D286))+Val!$D$12*(1-COS(E286))</f>
        <v>0.0013954089127161187</v>
      </c>
      <c r="G286" s="26">
        <f>Val!$D$11*((1-COS(Calc!D286))+1/Val!$D$18*(1-(1-(Val!$D$18*SIN(Calc!D286))^2)^0.5))+Val!$D$12*((1-COS(Calc!E286))+1/Val!$D$19*(1-(1-(Val!$D$19*SIN(Calc!E286))^2)^0.5))</f>
        <v>0.0014502072307920055</v>
      </c>
      <c r="H286" s="26">
        <f t="shared" si="86"/>
        <v>-5.479831807588681E-05</v>
      </c>
      <c r="I286" s="22">
        <f>Val!$D$11*(1-COS(D286))+Val!$D$14+Val!$D$13+Val!$D$12*((1-COS(Calc!E286)))+Val!$D$15</f>
        <v>0.0020954089127161184</v>
      </c>
      <c r="J286" s="22">
        <f>Val!$D$11*((1-COS(Calc!$D286))+1/Val!$D$18*(1-(1-(Val!$D$18*SIN(Calc!$D286))^2)^0.5))+Val!$D$14+Val!$D$13+Val!$D$12*((1-COS(Calc!$E286))+1/Val!$D$19*(1-(1-(Val!$D$19*SIN(Calc!$E286))^2)^0.5))+Val!$D$15</f>
        <v>0.002150207230792005</v>
      </c>
      <c r="K286" s="44">
        <f t="shared" si="87"/>
        <v>-5.479831807588681E-05</v>
      </c>
      <c r="L286" s="50">
        <f>Val!$D$42*Val!$D$22/Val!$D$37/(1-Val!$D$39*COS(D286-Val!$D$40))</f>
        <v>60795.71249945934</v>
      </c>
      <c r="M286" s="50">
        <f>Val!$D$42*Val!$D$22/(Val!$D$11*((1-COS(Calc!D286))+1/Val!$D$18*(1-(1-(Val!$D$18*SIN(Calc!D286))^2)^0.5))/Val!$D$25+Val!$D$14/Val!$D$25+Val!$D$13/Val!$D$27+Val!$D$12*((1-COS(Calc!E286))+1/Val!$D$19*(1-(1-(Val!$D$19*SIN(Calc!E286))^2)^0.5))/Val!$D$26+Val!$D$15/Val!$D$26)</f>
        <v>59985.80313074582</v>
      </c>
      <c r="N286" s="16">
        <f t="shared" si="76"/>
        <v>-0.6266392561941548</v>
      </c>
      <c r="O286" s="16">
        <f t="shared" si="77"/>
        <v>-0.6187273562704731</v>
      </c>
      <c r="P286" s="16">
        <f t="shared" si="78"/>
        <v>1.0291137740305652E-05</v>
      </c>
      <c r="Q286" s="16">
        <f t="shared" si="79"/>
        <v>1.029942144080702E-05</v>
      </c>
      <c r="R286" s="13">
        <f t="shared" si="72"/>
        <v>0.8512312390112913</v>
      </c>
      <c r="S286" s="13">
        <f t="shared" si="73"/>
        <v>0.8734923069624666</v>
      </c>
      <c r="T286" s="13">
        <f t="shared" si="74"/>
        <v>0.3587185978325127</v>
      </c>
      <c r="U286" s="13">
        <f t="shared" si="75"/>
        <v>0.35393981424446097</v>
      </c>
      <c r="W286" s="387">
        <f>1*(M286-Val!$D$28)*PI()/4*Val!$D$2^2*(SIN(D286)+Val!$D$18/2*SIN(2*D286)/(1-Val!$D$18^2*SIN(D286)^2)^0.5)*Val!$D$4*(D286-D285)+1*(M286-Val!$D$28)*PI()/4*Val!$D$3^2*(SIN(E286)+Val!$D$19/2*SIN(2*E286)/(1-Val!$D$19^2*SIN(E286)^2)^0.5)*Val!$D$5*(E286-E285)</f>
        <v>0.4230340583411345</v>
      </c>
    </row>
    <row r="287" spans="2:23" ht="13.5">
      <c r="B287" s="32">
        <v>282</v>
      </c>
      <c r="C287" s="32">
        <f>B287-Data!$D$10</f>
        <v>192</v>
      </c>
      <c r="D287" s="30">
        <f t="shared" si="84"/>
        <v>4.9218284906240095</v>
      </c>
      <c r="E287" s="30">
        <f t="shared" si="85"/>
        <v>3.351032163829113</v>
      </c>
      <c r="F287" s="26">
        <f>Val!$D$11*(1-COS(D287))+Val!$D$12*(1-COS(E287))</f>
        <v>0.001385117774975813</v>
      </c>
      <c r="G287" s="26">
        <f>Val!$D$11*((1-COS(Calc!D287))+1/Val!$D$18*(1-(1-(Val!$D$18*SIN(Calc!D287))^2)^0.5))+Val!$D$12*((1-COS(Calc!E287))+1/Val!$D$19*(1-(1-(Val!$D$19*SIN(Calc!E287))^2)^0.5))</f>
        <v>0.0014399078093511985</v>
      </c>
      <c r="H287" s="26">
        <f t="shared" si="86"/>
        <v>-5.479003437538544E-05</v>
      </c>
      <c r="I287" s="22">
        <f>Val!$D$11*(1-COS(D287))+Val!$D$14+Val!$D$13+Val!$D$12*((1-COS(Calc!E287)))+Val!$D$15</f>
        <v>0.0020851177749758127</v>
      </c>
      <c r="J287" s="22">
        <f>Val!$D$11*((1-COS(Calc!$D287))+1/Val!$D$18*(1-(1-(Val!$D$18*SIN(Calc!$D287))^2)^0.5))+Val!$D$14+Val!$D$13+Val!$D$12*((1-COS(Calc!$E287))+1/Val!$D$19*(1-(1-(Val!$D$19*SIN(Calc!$E287))^2)^0.5))+Val!$D$15</f>
        <v>0.0021399078093511984</v>
      </c>
      <c r="K287" s="44">
        <f t="shared" si="87"/>
        <v>-5.479003437538566E-05</v>
      </c>
      <c r="L287" s="50">
        <f>Val!$D$42*Val!$D$22/Val!$D$37/(1-Val!$D$39*COS(D287-Val!$D$40))</f>
        <v>60986.59612515407</v>
      </c>
      <c r="M287" s="50">
        <f>Val!$D$42*Val!$D$22/(Val!$D$11*((1-COS(Calc!D287))+1/Val!$D$18*(1-(1-(Val!$D$18*SIN(Calc!D287))^2)^0.5))/Val!$D$25+Val!$D$14/Val!$D$25+Val!$D$13/Val!$D$27+Val!$D$12*((1-COS(Calc!E287))+1/Val!$D$19*(1-(1-(Val!$D$19*SIN(Calc!E287))^2)^0.5))/Val!$D$26+Val!$D$15/Val!$D$26)</f>
        <v>60162.179904310025</v>
      </c>
      <c r="N287" s="16">
        <f t="shared" si="76"/>
        <v>-0.6358048920219905</v>
      </c>
      <c r="O287" s="16">
        <f t="shared" si="77"/>
        <v>-0.6276743228571829</v>
      </c>
      <c r="P287" s="16">
        <f t="shared" si="78"/>
        <v>1.0408448384864339E-05</v>
      </c>
      <c r="Q287" s="16">
        <f t="shared" si="79"/>
        <v>1.0417269839201526E-05</v>
      </c>
      <c r="R287" s="13">
        <f t="shared" si="72"/>
        <v>0.8470506049229495</v>
      </c>
      <c r="S287" s="13">
        <f t="shared" si="73"/>
        <v>0.8693083077339852</v>
      </c>
      <c r="T287" s="13">
        <f t="shared" si="74"/>
        <v>0.3598448862456801</v>
      </c>
      <c r="U287" s="13">
        <f t="shared" si="75"/>
        <v>0.3549805065285383</v>
      </c>
      <c r="W287" s="387">
        <f>1*(M287-Val!$D$28)*PI()/4*Val!$D$2^2*(SIN(D287)+Val!$D$18/2*SIN(2*D287)/(1-Val!$D$18^2*SIN(D287)^2)^0.5)*Val!$D$4*(D287-D286)+1*(M287-Val!$D$28)*PI()/4*Val!$D$3^2*(SIN(E287)+Val!$D$19/2*SIN(2*E287)/(1-Val!$D$19^2*SIN(E287)^2)^0.5)*Val!$D$5*(E287-E286)</f>
        <v>0.42614166231630984</v>
      </c>
    </row>
    <row r="288" spans="2:23" ht="13.5">
      <c r="B288" s="32">
        <v>283</v>
      </c>
      <c r="C288" s="32">
        <f>B288-Data!$D$10</f>
        <v>193</v>
      </c>
      <c r="D288" s="30">
        <f t="shared" si="84"/>
        <v>4.939281783143953</v>
      </c>
      <c r="E288" s="30">
        <f t="shared" si="85"/>
        <v>3.368485456349056</v>
      </c>
      <c r="F288" s="26">
        <f>Val!$D$11*(1-COS(D288))+Val!$D$12*(1-COS(E288))</f>
        <v>0.0013747093265909487</v>
      </c>
      <c r="G288" s="26">
        <f>Val!$D$11*((1-COS(Calc!D288))+1/Val!$D$18*(1-(1-(Val!$D$18*SIN(Calc!D288))^2)^0.5))+Val!$D$12*((1-COS(Calc!E288))+1/Val!$D$19*(1-(1-(Val!$D$19*SIN(Calc!E288))^2)^0.5))</f>
        <v>0.001429490539511997</v>
      </c>
      <c r="H288" s="26">
        <f t="shared" si="86"/>
        <v>-5.4781212921048254E-05</v>
      </c>
      <c r="I288" s="22">
        <f>Val!$D$11*(1-COS(D288))+Val!$D$14+Val!$D$13+Val!$D$12*((1-COS(Calc!E288)))+Val!$D$15</f>
        <v>0.0020747093265909484</v>
      </c>
      <c r="J288" s="22">
        <f>Val!$D$11*((1-COS(Calc!$D288))+1/Val!$D$18*(1-(1-(Val!$D$18*SIN(Calc!$D288))^2)^0.5))+Val!$D$14+Val!$D$13+Val!$D$12*((1-COS(Calc!$E288))+1/Val!$D$19*(1-(1-(Val!$D$19*SIN(Calc!$E288))^2)^0.5))+Val!$D$15</f>
        <v>0.0021294905395119967</v>
      </c>
      <c r="K288" s="44">
        <f t="shared" si="87"/>
        <v>-5.4781212921048254E-05</v>
      </c>
      <c r="L288" s="50">
        <f>Val!$D$42*Val!$D$22/Val!$D$37/(1-Val!$D$39*COS(D288-Val!$D$40))</f>
        <v>61184.33051297181</v>
      </c>
      <c r="M288" s="50">
        <f>Val!$D$42*Val!$D$22/(Val!$D$11*((1-COS(Calc!D288))+1/Val!$D$18*(1-(1-(Val!$D$18*SIN(Calc!D288))^2)^0.5))/Val!$D$25+Val!$D$14/Val!$D$25+Val!$D$13/Val!$D$27+Val!$D$12*((1-COS(Calc!E288))+1/Val!$D$19*(1-(1-(Val!$D$19*SIN(Calc!E288))^2)^0.5))/Val!$D$26+Val!$D$15/Val!$D$26)</f>
        <v>60344.312208460375</v>
      </c>
      <c r="N288" s="16">
        <f t="shared" si="76"/>
        <v>-0.6448942370623517</v>
      </c>
      <c r="O288" s="16">
        <f t="shared" si="77"/>
        <v>-0.6365302077084365</v>
      </c>
      <c r="P288" s="16">
        <f t="shared" si="78"/>
        <v>1.0522588515215299E-05</v>
      </c>
      <c r="Q288" s="16">
        <f t="shared" si="79"/>
        <v>1.0531904731187793E-05</v>
      </c>
      <c r="R288" s="13">
        <f t="shared" si="72"/>
        <v>0.8428223149881946</v>
      </c>
      <c r="S288" s="13">
        <f t="shared" si="73"/>
        <v>0.8650764342039425</v>
      </c>
      <c r="T288" s="13">
        <f t="shared" si="74"/>
        <v>0.36101159684787726</v>
      </c>
      <c r="U288" s="13">
        <f t="shared" si="75"/>
        <v>0.3560551587051272</v>
      </c>
      <c r="W288" s="387">
        <f>1*(M288-Val!$D$28)*PI()/4*Val!$D$2^2*(SIN(D288)+Val!$D$18/2*SIN(2*D288)/(1-Val!$D$18^2*SIN(D288)^2)^0.5)*Val!$D$4*(D288-D287)+1*(M288-Val!$D$28)*PI()/4*Val!$D$3^2*(SIN(E288)+Val!$D$19/2*SIN(2*E288)/(1-Val!$D$19^2*SIN(E288)^2)^0.5)*Val!$D$5*(E288-E287)</f>
        <v>0.4290159903335339</v>
      </c>
    </row>
    <row r="289" spans="2:23" ht="13.5">
      <c r="B289" s="32">
        <v>284</v>
      </c>
      <c r="C289" s="32">
        <f>B289-Data!$D$10</f>
        <v>194</v>
      </c>
      <c r="D289" s="30">
        <f t="shared" si="84"/>
        <v>4.956735075663896</v>
      </c>
      <c r="E289" s="30">
        <f t="shared" si="85"/>
        <v>3.385938748868999</v>
      </c>
      <c r="F289" s="26">
        <f>Val!$D$11*(1-COS(D289))+Val!$D$12*(1-COS(E289))</f>
        <v>0.0013641867380757334</v>
      </c>
      <c r="G289" s="26">
        <f>Val!$D$11*((1-COS(Calc!D289))+1/Val!$D$18*(1-(1-(Val!$D$18*SIN(Calc!D289))^2)^0.5))+Val!$D$12*((1-COS(Calc!E289))+1/Val!$D$19*(1-(1-(Val!$D$19*SIN(Calc!E289))^2)^0.5))</f>
        <v>0.0014189586347808092</v>
      </c>
      <c r="H289" s="26">
        <f t="shared" si="86"/>
        <v>-5.477189670507576E-05</v>
      </c>
      <c r="I289" s="22">
        <f>Val!$D$11*(1-COS(D289))+Val!$D$14+Val!$D$13+Val!$D$12*((1-COS(Calc!E289)))+Val!$D$15</f>
        <v>0.002064186738075733</v>
      </c>
      <c r="J289" s="22">
        <f>Val!$D$11*((1-COS(Calc!$D289))+1/Val!$D$18*(1-(1-(Val!$D$18*SIN(Calc!$D289))^2)^0.5))+Val!$D$14+Val!$D$13+Val!$D$12*((1-COS(Calc!$E289))+1/Val!$D$19*(1-(1-(Val!$D$19*SIN(Calc!$E289))^2)^0.5))+Val!$D$15</f>
        <v>0.002118958634780809</v>
      </c>
      <c r="K289" s="44">
        <f t="shared" si="87"/>
        <v>-5.477189670507598E-05</v>
      </c>
      <c r="L289" s="50">
        <f>Val!$D$42*Val!$D$22/Val!$D$37/(1-Val!$D$39*COS(D289-Val!$D$40))</f>
        <v>61388.976640461726</v>
      </c>
      <c r="M289" s="50">
        <f>Val!$D$42*Val!$D$22/(Val!$D$11*((1-COS(Calc!D289))+1/Val!$D$18*(1-(1-(Val!$D$18*SIN(Calc!D289))^2)^0.5))/Val!$D$25+Val!$D$14/Val!$D$25+Val!$D$13/Val!$D$27+Val!$D$12*((1-COS(Calc!E289))+1/Val!$D$19*(1-(1-(Val!$D$19*SIN(Calc!E289))^2)^0.5))/Val!$D$26+Val!$D$15/Val!$D$26)</f>
        <v>60532.24791147689</v>
      </c>
      <c r="N289" s="16">
        <f t="shared" si="76"/>
        <v>-0.6539062554514311</v>
      </c>
      <c r="O289" s="16">
        <f t="shared" si="77"/>
        <v>-0.6452934803183048</v>
      </c>
      <c r="P289" s="16">
        <f t="shared" si="78"/>
        <v>1.0633523363170637E-05</v>
      </c>
      <c r="Q289" s="16">
        <f t="shared" si="79"/>
        <v>1.0643288938659524E-05</v>
      </c>
      <c r="R289" s="13">
        <f t="shared" si="72"/>
        <v>0.8385476571851015</v>
      </c>
      <c r="S289" s="13">
        <f t="shared" si="73"/>
        <v>0.860797991815408</v>
      </c>
      <c r="T289" s="13">
        <f t="shared" si="74"/>
        <v>0.3622190894306098</v>
      </c>
      <c r="U289" s="13">
        <f t="shared" si="75"/>
        <v>0.3571640532158931</v>
      </c>
      <c r="W289" s="387">
        <f>1*(M289-Val!$D$28)*PI()/4*Val!$D$2^2*(SIN(D289)+Val!$D$18/2*SIN(2*D289)/(1-Val!$D$18^2*SIN(D289)^2)^0.5)*Val!$D$4*(D289-D288)+1*(M289-Val!$D$28)*PI()/4*Val!$D$3^2*(SIN(E289)+Val!$D$19/2*SIN(2*E289)/(1-Val!$D$19^2*SIN(E289)^2)^0.5)*Val!$D$5*(E289-E288)</f>
        <v>0.4316547340414171</v>
      </c>
    </row>
    <row r="290" spans="2:23" ht="13.5">
      <c r="B290" s="32">
        <v>285</v>
      </c>
      <c r="C290" s="32">
        <f>B290-Data!$D$10</f>
        <v>195</v>
      </c>
      <c r="D290" s="30">
        <f t="shared" si="84"/>
        <v>4.974188368183839</v>
      </c>
      <c r="E290" s="30">
        <f t="shared" si="85"/>
        <v>3.4033920413889427</v>
      </c>
      <c r="F290" s="26">
        <f>Val!$D$11*(1-COS(D290))+Val!$D$12*(1-COS(E290))</f>
        <v>0.0013535532147125628</v>
      </c>
      <c r="G290" s="26">
        <f>Val!$D$11*((1-COS(Calc!D290))+1/Val!$D$18*(1-(1-(Val!$D$18*SIN(Calc!D290))^2)^0.5))+Val!$D$12*((1-COS(Calc!E290))+1/Val!$D$19*(1-(1-(Val!$D$19*SIN(Calc!E290))^2)^0.5))</f>
        <v>0.0014083153458421497</v>
      </c>
      <c r="H290" s="26">
        <f t="shared" si="86"/>
        <v>-5.476213112958687E-05</v>
      </c>
      <c r="I290" s="22">
        <f>Val!$D$11*(1-COS(D290))+Val!$D$14+Val!$D$13+Val!$D$12*((1-COS(Calc!E290)))+Val!$D$15</f>
        <v>0.002053553214712563</v>
      </c>
      <c r="J290" s="22">
        <f>Val!$D$11*((1-COS(Calc!$D290))+1/Val!$D$18*(1-(1-(Val!$D$18*SIN(Calc!$D290))^2)^0.5))+Val!$D$14+Val!$D$13+Val!$D$12*((1-COS(Calc!$E290))+1/Val!$D$19*(1-(1-(Val!$D$19*SIN(Calc!$E290))^2)^0.5))+Val!$D$15</f>
        <v>0.0021083153458421496</v>
      </c>
      <c r="K290" s="44">
        <f t="shared" si="87"/>
        <v>-5.4762131129586656E-05</v>
      </c>
      <c r="L290" s="50">
        <f>Val!$D$42*Val!$D$22/Val!$D$37/(1-Val!$D$39*COS(D290-Val!$D$40))</f>
        <v>61600.59758030597</v>
      </c>
      <c r="M290" s="50">
        <f>Val!$D$42*Val!$D$22/(Val!$D$11*((1-COS(Calc!D290))+1/Val!$D$18*(1-(1-(Val!$D$18*SIN(Calc!D290))^2)^0.5))/Val!$D$25+Val!$D$14/Val!$D$25+Val!$D$13/Val!$D$27+Val!$D$12*((1-COS(Calc!E290))+1/Val!$D$19*(1-(1-(Val!$D$19*SIN(Calc!E290))^2)^0.5))/Val!$D$26+Val!$D$15/Val!$D$26)</f>
        <v>60726.036823126946</v>
      </c>
      <c r="N290" s="16">
        <f t="shared" si="76"/>
        <v>-0.6628398600703059</v>
      </c>
      <c r="O290" s="16">
        <f t="shared" si="77"/>
        <v>-0.6539625844577728</v>
      </c>
      <c r="P290" s="16">
        <f t="shared" si="78"/>
        <v>1.0741219136899908E-05</v>
      </c>
      <c r="Q290" s="16">
        <f t="shared" si="79"/>
        <v>1.075138648134826E-05</v>
      </c>
      <c r="R290" s="13">
        <f t="shared" si="72"/>
        <v>0.8342279336158465</v>
      </c>
      <c r="S290" s="13">
        <f t="shared" si="73"/>
        <v>0.8564743011145478</v>
      </c>
      <c r="T290" s="13">
        <f t="shared" si="74"/>
        <v>0.3634677361474914</v>
      </c>
      <c r="U290" s="13">
        <f t="shared" si="75"/>
        <v>0.35830748395803985</v>
      </c>
      <c r="W290" s="387">
        <f>1*(M290-Val!$D$28)*PI()/4*Val!$D$2^2*(SIN(D290)+Val!$D$18/2*SIN(2*D290)/(1-Val!$D$18^2*SIN(D290)^2)^0.5)*Val!$D$4*(D290-D289)+1*(M290-Val!$D$28)*PI()/4*Val!$D$3^2*(SIN(E290)+Val!$D$19/2*SIN(2*E290)/(1-Val!$D$19^2*SIN(E290)^2)^0.5)*Val!$D$5*(E290-E289)</f>
        <v>0.434055731035176</v>
      </c>
    </row>
    <row r="291" spans="2:23" ht="13.5">
      <c r="B291" s="32">
        <v>286</v>
      </c>
      <c r="C291" s="32">
        <f>B291-Data!$D$10</f>
        <v>196</v>
      </c>
      <c r="D291" s="30">
        <f t="shared" si="84"/>
        <v>4.991641660703783</v>
      </c>
      <c r="E291" s="30">
        <f t="shared" si="85"/>
        <v>3.420845333908886</v>
      </c>
      <c r="F291" s="26">
        <f>Val!$D$11*(1-COS(D291))+Val!$D$12*(1-COS(E291))</f>
        <v>0.0013428119955756629</v>
      </c>
      <c r="G291" s="26">
        <f>Val!$D$11*((1-COS(Calc!D291))+1/Val!$D$18*(1-(1-(Val!$D$18*SIN(Calc!D291))^2)^0.5))+Val!$D$12*((1-COS(Calc!E291))+1/Val!$D$19*(1-(1-(Val!$D$19*SIN(Calc!E291))^2)^0.5))</f>
        <v>0.0013975639593608014</v>
      </c>
      <c r="H291" s="26">
        <f t="shared" si="86"/>
        <v>-5.475196378513852E-05</v>
      </c>
      <c r="I291" s="22">
        <f>Val!$D$11*(1-COS(D291))+Val!$D$14+Val!$D$13+Val!$D$12*((1-COS(Calc!E291)))+Val!$D$15</f>
        <v>0.0020428119955756626</v>
      </c>
      <c r="J291" s="22">
        <f>Val!$D$11*((1-COS(Calc!$D291))+1/Val!$D$18*(1-(1-(Val!$D$18*SIN(Calc!$D291))^2)^0.5))+Val!$D$14+Val!$D$13+Val!$D$12*((1-COS(Calc!$E291))+1/Val!$D$19*(1-(1-(Val!$D$19*SIN(Calc!$E291))^2)^0.5))+Val!$D$15</f>
        <v>0.002097563959360801</v>
      </c>
      <c r="K291" s="44">
        <f t="shared" si="87"/>
        <v>-5.475196378513852E-05</v>
      </c>
      <c r="L291" s="50">
        <f>Val!$D$42*Val!$D$22/Val!$D$37/(1-Val!$D$39*COS(D291-Val!$D$40))</f>
        <v>61819.258512786575</v>
      </c>
      <c r="M291" s="50">
        <f>Val!$D$42*Val!$D$22/(Val!$D$11*((1-COS(Calc!D291))+1/Val!$D$18*(1-(1-(Val!$D$18*SIN(Calc!D291))^2)^0.5))/Val!$D$25+Val!$D$14/Val!$D$25+Val!$D$13/Val!$D$27+Val!$D$12*((1-COS(Calc!E291))+1/Val!$D$19*(1-(1-(Val!$D$19*SIN(Calc!E291))^2)^0.5))/Val!$D$26+Val!$D$15/Val!$D$26)</f>
        <v>60925.73071257986</v>
      </c>
      <c r="N291" s="16">
        <f t="shared" si="76"/>
        <v>-0.6716939110744315</v>
      </c>
      <c r="O291" s="16">
        <f t="shared" si="77"/>
        <v>-0.6625359381123631</v>
      </c>
      <c r="P291" s="16">
        <f t="shared" si="78"/>
        <v>1.0845643031227653E-05</v>
      </c>
      <c r="Q291" s="16">
        <f t="shared" si="79"/>
        <v>1.085616259776127E-05</v>
      </c>
      <c r="R291" s="13">
        <f t="shared" si="72"/>
        <v>0.8298644601100744</v>
      </c>
      <c r="S291" s="13">
        <f t="shared" si="73"/>
        <v>0.8521066972640208</v>
      </c>
      <c r="T291" s="13">
        <f t="shared" si="74"/>
        <v>0.36475792158780335</v>
      </c>
      <c r="U291" s="13">
        <f t="shared" si="75"/>
        <v>0.3594857563900129</v>
      </c>
      <c r="W291" s="387">
        <f>1*(M291-Val!$D$28)*PI()/4*Val!$D$2^2*(SIN(D291)+Val!$D$18/2*SIN(2*D291)/(1-Val!$D$18^2*SIN(D291)^2)^0.5)*Val!$D$4*(D291-D290)+1*(M291-Val!$D$28)*PI()/4*Val!$D$3^2*(SIN(E291)+Val!$D$19/2*SIN(2*E291)/(1-Val!$D$19^2*SIN(E291)^2)^0.5)*Val!$D$5*(E291-E290)</f>
        <v>0.4362169670757101</v>
      </c>
    </row>
    <row r="292" spans="2:23" ht="13.5">
      <c r="B292" s="32">
        <v>287</v>
      </c>
      <c r="C292" s="32">
        <f>B292-Data!$D$10</f>
        <v>197</v>
      </c>
      <c r="D292" s="30">
        <f t="shared" si="84"/>
        <v>5.009094953223726</v>
      </c>
      <c r="E292" s="30">
        <f t="shared" si="85"/>
        <v>3.4382986264288293</v>
      </c>
      <c r="F292" s="26">
        <f>Val!$D$11*(1-COS(D292))+Val!$D$12*(1-COS(E292))</f>
        <v>0.0013319663525444352</v>
      </c>
      <c r="G292" s="26">
        <f>Val!$D$11*((1-COS(Calc!D292))+1/Val!$D$18*(1-(1-(Val!$D$18*SIN(Calc!D292))^2)^0.5))+Val!$D$12*((1-COS(Calc!E292))+1/Val!$D$19*(1-(1-(Val!$D$19*SIN(Calc!E292))^2)^0.5))</f>
        <v>0.0013867077967630401</v>
      </c>
      <c r="H292" s="26">
        <f t="shared" si="86"/>
        <v>-5.4741444218604903E-05</v>
      </c>
      <c r="I292" s="22">
        <f>Val!$D$11*(1-COS(D292))+Val!$D$14+Val!$D$13+Val!$D$12*((1-COS(Calc!E292)))+Val!$D$15</f>
        <v>0.002031966352544435</v>
      </c>
      <c r="J292" s="22">
        <f>Val!$D$11*((1-COS(Calc!$D292))+1/Val!$D$18*(1-(1-(Val!$D$18*SIN(Calc!$D292))^2)^0.5))+Val!$D$14+Val!$D$13+Val!$D$12*((1-COS(Calc!$E292))+1/Val!$D$19*(1-(1-(Val!$D$19*SIN(Calc!$E292))^2)^0.5))+Val!$D$15</f>
        <v>0.00208670779676304</v>
      </c>
      <c r="K292" s="44">
        <f t="shared" si="87"/>
        <v>-5.474144421860469E-05</v>
      </c>
      <c r="L292" s="50">
        <f>Val!$D$42*Val!$D$22/Val!$D$37/(1-Val!$D$39*COS(D292-Val!$D$40))</f>
        <v>62045.02673806476</v>
      </c>
      <c r="M292" s="50">
        <f>Val!$D$42*Val!$D$22/(Val!$D$11*((1-COS(Calc!D292))+1/Val!$D$18*(1-(1-(Val!$D$18*SIN(Calc!D292))^2)^0.5))/Val!$D$25+Val!$D$14/Val!$D$25+Val!$D$13/Val!$D$27+Val!$D$12*((1-COS(Calc!E292))+1/Val!$D$19*(1-(1-(Val!$D$19*SIN(Calc!E292))^2)^0.5))/Val!$D$26+Val!$D$15/Val!$D$26)</f>
        <v>61131.383326774994</v>
      </c>
      <c r="N292" s="16">
        <f t="shared" si="76"/>
        <v>-0.6804672143819123</v>
      </c>
      <c r="O292" s="16">
        <f t="shared" si="77"/>
        <v>-0.6710119333470779</v>
      </c>
      <c r="P292" s="16">
        <f t="shared" si="78"/>
        <v>1.0946763237623669E-05</v>
      </c>
      <c r="Q292" s="16">
        <f t="shared" si="79"/>
        <v>1.0957583764683969E-05</v>
      </c>
      <c r="R292" s="13">
        <f t="shared" si="72"/>
        <v>0.8254585658240856</v>
      </c>
      <c r="S292" s="13">
        <f t="shared" si="73"/>
        <v>0.8476965295478676</v>
      </c>
      <c r="T292" s="13">
        <f t="shared" si="74"/>
        <v>0.36609004284894725</v>
      </c>
      <c r="U292" s="13">
        <f t="shared" si="75"/>
        <v>0.3606991876398782</v>
      </c>
      <c r="W292" s="387">
        <f>1*(M292-Val!$D$28)*PI()/4*Val!$D$2^2*(SIN(D292)+Val!$D$18/2*SIN(2*D292)/(1-Val!$D$18^2*SIN(D292)^2)^0.5)*Val!$D$4*(D292-D291)+1*(M292-Val!$D$28)*PI()/4*Val!$D$3^2*(SIN(E292)+Val!$D$19/2*SIN(2*E292)/(1-Val!$D$19^2*SIN(E292)^2)^0.5)*Val!$D$5*(E292-E291)</f>
        <v>0.4381365782367411</v>
      </c>
    </row>
    <row r="293" spans="2:23" ht="13.5">
      <c r="B293" s="32">
        <v>288</v>
      </c>
      <c r="C293" s="32">
        <f>B293-Data!$D$10</f>
        <v>198</v>
      </c>
      <c r="D293" s="30">
        <f t="shared" si="84"/>
        <v>5.026548245743669</v>
      </c>
      <c r="E293" s="30">
        <f t="shared" si="85"/>
        <v>3.4557519189487724</v>
      </c>
      <c r="F293" s="26">
        <f>Val!$D$11*(1-COS(D293))+Val!$D$12*(1-COS(E293))</f>
        <v>0.0013210195893068116</v>
      </c>
      <c r="G293" s="26">
        <f>Val!$D$11*((1-COS(Calc!D293))+1/Val!$D$18*(1-(1-(Val!$D$18*SIN(Calc!D293))^2)^0.5))+Val!$D$12*((1-COS(Calc!E293))+1/Val!$D$19*(1-(1-(Val!$D$19*SIN(Calc!E293))^2)^0.5))</f>
        <v>0.0013757502129983562</v>
      </c>
      <c r="H293" s="26">
        <f t="shared" si="86"/>
        <v>-5.4730623691544604E-05</v>
      </c>
      <c r="I293" s="22">
        <f>Val!$D$11*(1-COS(D293))+Val!$D$14+Val!$D$13+Val!$D$12*((1-COS(Calc!E293)))+Val!$D$15</f>
        <v>0.0020210195893068114</v>
      </c>
      <c r="J293" s="22">
        <f>Val!$D$11*((1-COS(Calc!$D293))+1/Val!$D$18*(1-(1-(Val!$D$18*SIN(Calc!$D293))^2)^0.5))+Val!$D$14+Val!$D$13+Val!$D$12*((1-COS(Calc!$E293))+1/Val!$D$19*(1-(1-(Val!$D$19*SIN(Calc!$E293))^2)^0.5))+Val!$D$15</f>
        <v>0.002075750212998356</v>
      </c>
      <c r="K293" s="44">
        <f t="shared" si="87"/>
        <v>-5.473062369154439E-05</v>
      </c>
      <c r="L293" s="50">
        <f>Val!$D$42*Val!$D$22/Val!$D$37/(1-Val!$D$39*COS(D293-Val!$D$40))</f>
        <v>62277.97168820404</v>
      </c>
      <c r="M293" s="50">
        <f>Val!$D$42*Val!$D$22/(Val!$D$11*((1-COS(Calc!D293))+1/Val!$D$18*(1-(1-(Val!$D$18*SIN(Calc!D293))^2)^0.5))/Val!$D$25+Val!$D$14/Val!$D$25+Val!$D$13/Val!$D$27+Val!$D$12*((1-COS(Calc!E293))+1/Val!$D$19*(1-(1-(Val!$D$19*SIN(Calc!E293))^2)^0.5))/Val!$D$26+Val!$D$15/Val!$D$26)</f>
        <v>61343.050409197596</v>
      </c>
      <c r="N293" s="16">
        <f t="shared" si="76"/>
        <v>-0.6891585201172726</v>
      </c>
      <c r="O293" s="16">
        <f t="shared" si="77"/>
        <v>-0.6793889360935875</v>
      </c>
      <c r="P293" s="16">
        <f t="shared" si="78"/>
        <v>1.1044548953894262E-05</v>
      </c>
      <c r="Q293" s="16">
        <f t="shared" si="79"/>
        <v>1.1055617715196968E-05</v>
      </c>
      <c r="R293" s="13">
        <f t="shared" si="72"/>
        <v>0.8210115928359603</v>
      </c>
      <c r="S293" s="13">
        <f t="shared" si="73"/>
        <v>0.8432451608684762</v>
      </c>
      <c r="T293" s="13">
        <f t="shared" si="74"/>
        <v>0.36746450960738636</v>
      </c>
      <c r="U293" s="13">
        <f t="shared" si="75"/>
        <v>0.3619481066161071</v>
      </c>
      <c r="W293" s="387">
        <f>1*(M293-Val!$D$28)*PI()/4*Val!$D$2^2*(SIN(D293)+Val!$D$18/2*SIN(2*D293)/(1-Val!$D$18^2*SIN(D293)^2)^0.5)*Val!$D$4*(D293-D292)+1*(M293-Val!$D$28)*PI()/4*Val!$D$3^2*(SIN(E293)+Val!$D$19/2*SIN(2*E293)/(1-Val!$D$19^2*SIN(E293)^2)^0.5)*Val!$D$5*(E293-E292)</f>
        <v>0.4398128529792987</v>
      </c>
    </row>
    <row r="294" spans="2:23" ht="13.5">
      <c r="B294" s="32">
        <v>289</v>
      </c>
      <c r="C294" s="32">
        <f>B294-Data!$D$10</f>
        <v>199</v>
      </c>
      <c r="D294" s="30">
        <f t="shared" si="84"/>
        <v>5.044001538263612</v>
      </c>
      <c r="E294" s="30">
        <f t="shared" si="85"/>
        <v>3.473205211468716</v>
      </c>
      <c r="F294" s="26">
        <f>Val!$D$11*(1-COS(D294))+Val!$D$12*(1-COS(E294))</f>
        <v>0.0013099750403529173</v>
      </c>
      <c r="G294" s="26">
        <f>Val!$D$11*((1-COS(Calc!D294))+1/Val!$D$18*(1-(1-(Val!$D$18*SIN(Calc!D294))^2)^0.5))+Val!$D$12*((1-COS(Calc!E294))+1/Val!$D$19*(1-(1-(Val!$D$19*SIN(Calc!E294))^2)^0.5))</f>
        <v>0.0013646945952831592</v>
      </c>
      <c r="H294" s="26">
        <f t="shared" si="86"/>
        <v>-5.47195549302419E-05</v>
      </c>
      <c r="I294" s="22">
        <f>Val!$D$11*(1-COS(D294))+Val!$D$14+Val!$D$13+Val!$D$12*((1-COS(Calc!E294)))+Val!$D$15</f>
        <v>0.002009975040352917</v>
      </c>
      <c r="J294" s="22">
        <f>Val!$D$11*((1-COS(Calc!$D294))+1/Val!$D$18*(1-(1-(Val!$D$18*SIN(Calc!$D294))^2)^0.5))+Val!$D$14+Val!$D$13+Val!$D$12*((1-COS(Calc!$E294))+1/Val!$D$19*(1-(1-(Val!$D$19*SIN(Calc!$E294))^2)^0.5))+Val!$D$15</f>
        <v>0.002064694595283159</v>
      </c>
      <c r="K294" s="44">
        <f t="shared" si="87"/>
        <v>-5.47195549302419E-05</v>
      </c>
      <c r="L294" s="50">
        <f>Val!$D$42*Val!$D$22/Val!$D$37/(1-Val!$D$39*COS(D294-Val!$D$40))</f>
        <v>62518.16493886297</v>
      </c>
      <c r="M294" s="50">
        <f>Val!$D$42*Val!$D$22/(Val!$D$11*((1-COS(Calc!D294))+1/Val!$D$18*(1-(1-(Val!$D$18*SIN(Calc!D294))^2)^0.5))/Val!$D$25+Val!$D$14/Val!$D$25+Val!$D$13/Val!$D$27+Val!$D$12*((1-COS(Calc!E294))+1/Val!$D$19*(1-(1-(Val!$D$19*SIN(Calc!E294))^2)^0.5))/Val!$D$26+Val!$D$15/Val!$D$26)</f>
        <v>61560.789719012464</v>
      </c>
      <c r="N294" s="16">
        <f t="shared" si="76"/>
        <v>-0.6977665210113331</v>
      </c>
      <c r="O294" s="16">
        <f t="shared" si="77"/>
        <v>-0.6876652858565642</v>
      </c>
      <c r="P294" s="16">
        <f t="shared" si="78"/>
        <v>1.1138970393562543E-05</v>
      </c>
      <c r="Q294" s="16">
        <f t="shared" si="79"/>
        <v>1.115023345516896E-05</v>
      </c>
      <c r="R294" s="13">
        <f t="shared" si="72"/>
        <v>0.8165248957367492</v>
      </c>
      <c r="S294" s="13">
        <f t="shared" si="73"/>
        <v>0.8387539672362302</v>
      </c>
      <c r="T294" s="13">
        <f t="shared" si="74"/>
        <v>0.3688817441876369</v>
      </c>
      <c r="U294" s="13">
        <f t="shared" si="75"/>
        <v>0.36323285412047274</v>
      </c>
      <c r="W294" s="387">
        <f>1*(M294-Val!$D$28)*PI()/4*Val!$D$2^2*(SIN(D294)+Val!$D$18/2*SIN(2*D294)/(1-Val!$D$18^2*SIN(D294)^2)^0.5)*Val!$D$4*(D294-D293)+1*(M294-Val!$D$28)*PI()/4*Val!$D$3^2*(SIN(E294)+Val!$D$19/2*SIN(2*E294)/(1-Val!$D$19^2*SIN(E294)^2)^0.5)*Val!$D$5*(E294-E293)</f>
        <v>0.44124423415251146</v>
      </c>
    </row>
    <row r="295" spans="2:23" ht="13.5">
      <c r="B295" s="32">
        <v>290</v>
      </c>
      <c r="C295" s="32">
        <f>B295-Data!$D$10</f>
        <v>200</v>
      </c>
      <c r="D295" s="30">
        <f t="shared" si="84"/>
        <v>5.061454830783556</v>
      </c>
      <c r="E295" s="30">
        <f t="shared" si="85"/>
        <v>3.490658503988659</v>
      </c>
      <c r="F295" s="26">
        <f>Val!$D$11*(1-COS(D295))+Val!$D$12*(1-COS(E295))</f>
        <v>0.0012988360699593548</v>
      </c>
      <c r="G295" s="26">
        <f>Val!$D$11*((1-COS(Calc!D295))+1/Val!$D$18*(1-(1-(Val!$D$18*SIN(Calc!D295))^2)^0.5))+Val!$D$12*((1-COS(Calc!E295))+1/Val!$D$19*(1-(1-(Val!$D$19*SIN(Calc!E295))^2)^0.5))</f>
        <v>0.0013535443618279902</v>
      </c>
      <c r="H295" s="26">
        <f t="shared" si="86"/>
        <v>-5.470829186863548E-05</v>
      </c>
      <c r="I295" s="22">
        <f>Val!$D$11*(1-COS(D295))+Val!$D$14+Val!$D$13+Val!$D$12*((1-COS(Calc!E295)))+Val!$D$15</f>
        <v>0.0019988360699593546</v>
      </c>
      <c r="J295" s="22">
        <f>Val!$D$11*((1-COS(Calc!$D295))+1/Val!$D$18*(1-(1-(Val!$D$18*SIN(Calc!$D295))^2)^0.5))+Val!$D$14+Val!$D$13+Val!$D$12*((1-COS(Calc!$E295))+1/Val!$D$19*(1-(1-(Val!$D$19*SIN(Calc!$E295))^2)^0.5))+Val!$D$15</f>
        <v>0.00205354436182799</v>
      </c>
      <c r="K295" s="44">
        <f t="shared" si="87"/>
        <v>-5.4708291868635264E-05</v>
      </c>
      <c r="L295" s="50">
        <f>Val!$D$42*Val!$D$22/Val!$D$37/(1-Val!$D$39*COS(D295-Val!$D$40))</f>
        <v>62765.68022057857</v>
      </c>
      <c r="M295" s="50">
        <f>Val!$D$42*Val!$D$22/(Val!$D$11*((1-COS(Calc!D295))+1/Val!$D$18*(1-(1-(Val!$D$18*SIN(Calc!D295))^2)^0.5))/Val!$D$25+Val!$D$14/Val!$D$25+Val!$D$13/Val!$D$27+Val!$D$12*((1-COS(Calc!E295))+1/Val!$D$19*(1-(1-(Val!$D$19*SIN(Calc!E295))^2)^0.5))/Val!$D$26+Val!$D$15/Val!$D$26)</f>
        <v>61784.6610505013</v>
      </c>
      <c r="N295" s="16">
        <f t="shared" si="76"/>
        <v>-0.7062898507557032</v>
      </c>
      <c r="O295" s="16">
        <f t="shared" si="77"/>
        <v>-0.695839295333843</v>
      </c>
      <c r="P295" s="16">
        <f t="shared" si="78"/>
        <v>1.122999879494299E-05</v>
      </c>
      <c r="Q295" s="16">
        <f t="shared" si="79"/>
        <v>1.1241401278172742E-05</v>
      </c>
      <c r="R295" s="13">
        <f t="shared" si="72"/>
        <v>0.8119998412178526</v>
      </c>
      <c r="S295" s="13">
        <f t="shared" si="73"/>
        <v>0.834224337252455</v>
      </c>
      <c r="T295" s="13">
        <f t="shared" si="74"/>
        <v>0.37034218162884514</v>
      </c>
      <c r="U295" s="13">
        <f t="shared" si="75"/>
        <v>0.3645537829627375</v>
      </c>
      <c r="W295" s="387">
        <f>1*(M295-Val!$D$28)*PI()/4*Val!$D$2^2*(SIN(D295)+Val!$D$18/2*SIN(2*D295)/(1-Val!$D$18^2*SIN(D295)^2)^0.5)*Val!$D$4*(D295-D294)+1*(M295-Val!$D$28)*PI()/4*Val!$D$3^2*(SIN(E295)+Val!$D$19/2*SIN(2*E295)/(1-Val!$D$19^2*SIN(E295)^2)^0.5)*Val!$D$5*(E295-E294)</f>
        <v>0.4424293209212038</v>
      </c>
    </row>
    <row r="296" spans="2:23" ht="13.5">
      <c r="B296" s="32">
        <v>291</v>
      </c>
      <c r="C296" s="32">
        <f>B296-Data!$D$10</f>
        <v>201</v>
      </c>
      <c r="D296" s="30">
        <f t="shared" si="84"/>
        <v>5.078908123303499</v>
      </c>
      <c r="E296" s="30">
        <f t="shared" si="85"/>
        <v>3.5081117965086026</v>
      </c>
      <c r="F296" s="26">
        <f>Val!$D$11*(1-COS(D296))+Val!$D$12*(1-COS(E296))</f>
        <v>0.0012876060711644118</v>
      </c>
      <c r="G296" s="26">
        <f>Val!$D$11*((1-COS(Calc!D296))+1/Val!$D$18*(1-(1-(Val!$D$18*SIN(Calc!D296))^2)^0.5))+Val!$D$12*((1-COS(Calc!E296))+1/Val!$D$19*(1-(1-(Val!$D$19*SIN(Calc!E296))^2)^0.5))</f>
        <v>0.0013423029605498175</v>
      </c>
      <c r="H296" s="26">
        <f t="shared" si="86"/>
        <v>-5.469688938540573E-05</v>
      </c>
      <c r="I296" s="22">
        <f>Val!$D$11*(1-COS(D296))+Val!$D$14+Val!$D$13+Val!$D$12*((1-COS(Calc!E296)))+Val!$D$15</f>
        <v>0.0019876060711644114</v>
      </c>
      <c r="J296" s="22">
        <f>Val!$D$11*((1-COS(Calc!$D296))+1/Val!$D$18*(1-(1-(Val!$D$18*SIN(Calc!$D296))^2)^0.5))+Val!$D$14+Val!$D$13+Val!$D$12*((1-COS(Calc!$E296))+1/Val!$D$19*(1-(1-(Val!$D$19*SIN(Calc!$E296))^2)^0.5))+Val!$D$15</f>
        <v>0.0020423029605498174</v>
      </c>
      <c r="K296" s="44">
        <f t="shared" si="87"/>
        <v>-5.4696889385405945E-05</v>
      </c>
      <c r="L296" s="50">
        <f>Val!$D$42*Val!$D$22/Val!$D$37/(1-Val!$D$39*COS(D296-Val!$D$40))</f>
        <v>63020.59342955589</v>
      </c>
      <c r="M296" s="50">
        <f>Val!$D$42*Val!$D$22/(Val!$D$11*((1-COS(Calc!D296))+1/Val!$D$18*(1-(1-(Val!$D$18*SIN(Calc!D296))^2)^0.5))/Val!$D$25+Val!$D$14/Val!$D$25+Val!$D$13/Val!$D$27+Val!$D$12*((1-COS(Calc!E296))+1/Val!$D$19*(1-(1-(Val!$D$19*SIN(Calc!E296))^2)^0.5))/Val!$D$26+Val!$D$15/Val!$D$26)</f>
        <v>62014.7262527448</v>
      </c>
      <c r="N296" s="16">
        <f t="shared" si="76"/>
        <v>-0.7147270823102443</v>
      </c>
      <c r="O296" s="16">
        <f t="shared" si="77"/>
        <v>-0.7039092499484921</v>
      </c>
      <c r="P296" s="16">
        <f t="shared" si="78"/>
        <v>1.1317606429903093E-05</v>
      </c>
      <c r="Q296" s="16">
        <f t="shared" si="79"/>
        <v>1.1329092778821328E-05</v>
      </c>
      <c r="R296" s="13">
        <f t="shared" si="72"/>
        <v>0.8074378076547121</v>
      </c>
      <c r="S296" s="13">
        <f t="shared" si="73"/>
        <v>0.8296576715863067</v>
      </c>
      <c r="T296" s="13">
        <f t="shared" si="74"/>
        <v>0.3718462697484497</v>
      </c>
      <c r="U296" s="13">
        <f t="shared" si="75"/>
        <v>0.3659112580767856</v>
      </c>
      <c r="W296" s="387">
        <f>1*(M296-Val!$D$28)*PI()/4*Val!$D$2^2*(SIN(D296)+Val!$D$18/2*SIN(2*D296)/(1-Val!$D$18^2*SIN(D296)^2)^0.5)*Val!$D$4*(D296-D295)+1*(M296-Val!$D$28)*PI()/4*Val!$D$3^2*(SIN(E296)+Val!$D$19/2*SIN(2*E296)/(1-Val!$D$19^2*SIN(E296)^2)^0.5)*Val!$D$5*(E296-E295)</f>
        <v>0.4433668706204057</v>
      </c>
    </row>
    <row r="297" spans="2:23" ht="13.5">
      <c r="B297" s="32">
        <v>292</v>
      </c>
      <c r="C297" s="32">
        <f>B297-Data!$D$10</f>
        <v>202</v>
      </c>
      <c r="D297" s="30">
        <f t="shared" si="84"/>
        <v>5.096361415823442</v>
      </c>
      <c r="E297" s="30">
        <f t="shared" si="85"/>
        <v>3.5255650890285457</v>
      </c>
      <c r="F297" s="26">
        <f>Val!$D$11*(1-COS(D297))+Val!$D$12*(1-COS(E297))</f>
        <v>0.0012762884647345087</v>
      </c>
      <c r="G297" s="26">
        <f>Val!$D$11*((1-COS(Calc!D297))+1/Val!$D$18*(1-(1-(Val!$D$18*SIN(Calc!D297))^2)^0.5))+Val!$D$12*((1-COS(Calc!E297))+1/Val!$D$19*(1-(1-(Val!$D$19*SIN(Calc!E297))^2)^0.5))</f>
        <v>0.0013309738677709962</v>
      </c>
      <c r="H297" s="26">
        <f t="shared" si="86"/>
        <v>-5.4685403036487494E-05</v>
      </c>
      <c r="I297" s="22">
        <f>Val!$D$11*(1-COS(D297))+Val!$D$14+Val!$D$13+Val!$D$12*((1-COS(Calc!E297)))+Val!$D$15</f>
        <v>0.0019762884647345083</v>
      </c>
      <c r="J297" s="22">
        <f>Val!$D$11*((1-COS(Calc!$D297))+1/Val!$D$18*(1-(1-(Val!$D$18*SIN(Calc!$D297))^2)^0.5))+Val!$D$14+Val!$D$13+Val!$D$12*((1-COS(Calc!$E297))+1/Val!$D$19*(1-(1-(Val!$D$19*SIN(Calc!$E297))^2)^0.5))+Val!$D$15</f>
        <v>0.002030973867770996</v>
      </c>
      <c r="K297" s="44">
        <f t="shared" si="87"/>
        <v>-5.4685403036487494E-05</v>
      </c>
      <c r="L297" s="50">
        <f>Val!$D$42*Val!$D$22/Val!$D$37/(1-Val!$D$39*COS(D297-Val!$D$40))</f>
        <v>63282.982637873094</v>
      </c>
      <c r="M297" s="50">
        <f>Val!$D$42*Val!$D$22/(Val!$D$11*((1-COS(Calc!D297))+1/Val!$D$18*(1-(1-(Val!$D$18*SIN(Calc!D297))^2)^0.5))/Val!$D$25+Val!$D$14/Val!$D$25+Val!$D$13/Val!$D$27+Val!$D$12*((1-COS(Calc!E297))+1/Val!$D$19*(1-(1-(Val!$D$19*SIN(Calc!E297))^2)^0.5))/Val!$D$26+Val!$D$15/Val!$D$26)</f>
        <v>62251.04924948619</v>
      </c>
      <c r="N297" s="16">
        <f t="shared" si="76"/>
        <v>-0.723076726163554</v>
      </c>
      <c r="O297" s="16">
        <f t="shared" si="77"/>
        <v>-0.7118734072867282</v>
      </c>
      <c r="P297" s="16">
        <f t="shared" si="78"/>
        <v>1.1401766612308649E-05</v>
      </c>
      <c r="Q297" s="16">
        <f t="shared" si="79"/>
        <v>1.1413280864467799E-05</v>
      </c>
      <c r="R297" s="13">
        <f t="shared" si="72"/>
        <v>0.8028401846869445</v>
      </c>
      <c r="S297" s="13">
        <f t="shared" si="73"/>
        <v>0.825055382446241</v>
      </c>
      <c r="T297" s="13">
        <f t="shared" si="74"/>
        <v>0.37339446920239583</v>
      </c>
      <c r="U297" s="13">
        <f t="shared" si="75"/>
        <v>0.36730565663782566</v>
      </c>
      <c r="W297" s="387">
        <f>1*(M297-Val!$D$28)*PI()/4*Val!$D$2^2*(SIN(D297)+Val!$D$18/2*SIN(2*D297)/(1-Val!$D$18^2*SIN(D297)^2)^0.5)*Val!$D$4*(D297-D296)+1*(M297-Val!$D$28)*PI()/4*Val!$D$3^2*(SIN(E297)+Val!$D$19/2*SIN(2*E297)/(1-Val!$D$19^2*SIN(E297)^2)^0.5)*Val!$D$5*(E297-E296)</f>
        <v>0.4440558005381073</v>
      </c>
    </row>
    <row r="298" spans="2:23" ht="13.5">
      <c r="B298" s="32">
        <v>293</v>
      </c>
      <c r="C298" s="32">
        <f>B298-Data!$D$10</f>
        <v>203</v>
      </c>
      <c r="D298" s="30">
        <f t="shared" si="84"/>
        <v>5.113814708343385</v>
      </c>
      <c r="E298" s="30">
        <f t="shared" si="85"/>
        <v>3.543018381548489</v>
      </c>
      <c r="F298" s="26">
        <f>Val!$D$11*(1-COS(D298))+Val!$D$12*(1-COS(E298))</f>
        <v>0.0012648866981222</v>
      </c>
      <c r="G298" s="26">
        <f>Val!$D$11*((1-COS(Calc!D298))+1/Val!$D$18*(1-(1-(Val!$D$18*SIN(Calc!D298))^2)^0.5))+Val!$D$12*((1-COS(Calc!E298))+1/Val!$D$19*(1-(1-(Val!$D$19*SIN(Calc!E298))^2)^0.5))</f>
        <v>0.0013195605869065284</v>
      </c>
      <c r="H298" s="26">
        <f t="shared" si="86"/>
        <v>-5.4673888784328344E-05</v>
      </c>
      <c r="I298" s="22">
        <f>Val!$D$11*(1-COS(D298))+Val!$D$14+Val!$D$13+Val!$D$12*((1-COS(Calc!E298)))+Val!$D$15</f>
        <v>0.0019648866981221997</v>
      </c>
      <c r="J298" s="22">
        <f>Val!$D$11*((1-COS(Calc!$D298))+1/Val!$D$18*(1-(1-(Val!$D$18*SIN(Calc!$D298))^2)^0.5))+Val!$D$14+Val!$D$13+Val!$D$12*((1-COS(Calc!$E298))+1/Val!$D$19*(1-(1-(Val!$D$19*SIN(Calc!$E298))^2)^0.5))+Val!$D$15</f>
        <v>0.0020195605869065283</v>
      </c>
      <c r="K298" s="44">
        <f t="shared" si="87"/>
        <v>-5.467388878432856E-05</v>
      </c>
      <c r="L298" s="50">
        <f>Val!$D$42*Val!$D$22/Val!$D$37/(1-Val!$D$39*COS(D298-Val!$D$40))</f>
        <v>63552.92810300536</v>
      </c>
      <c r="M298" s="50">
        <f>Val!$D$42*Val!$D$22/(Val!$D$11*((1-COS(Calc!D298))+1/Val!$D$18*(1-(1-(Val!$D$18*SIN(Calc!D298))^2)^0.5))/Val!$D$25+Val!$D$14/Val!$D$25+Val!$D$13/Val!$D$27+Val!$D$12*((1-COS(Calc!E298))+1/Val!$D$19*(1-(1-(Val!$D$19*SIN(Calc!E298))^2)^0.5))/Val!$D$26+Val!$D$15/Val!$D$26)</f>
        <v>62493.69605910767</v>
      </c>
      <c r="N298" s="16">
        <f t="shared" si="76"/>
        <v>-0.7313372285444336</v>
      </c>
      <c r="O298" s="16">
        <f t="shared" si="77"/>
        <v>-0.7197299964407003</v>
      </c>
      <c r="P298" s="16">
        <f t="shared" si="78"/>
        <v>1.1482453706152885E-05</v>
      </c>
      <c r="Q298" s="16">
        <f t="shared" si="79"/>
        <v>1.1493939765278623E-05</v>
      </c>
      <c r="R298" s="13">
        <f t="shared" si="72"/>
        <v>0.7982083727950439</v>
      </c>
      <c r="S298" s="13">
        <f t="shared" si="73"/>
        <v>0.8204188930467322</v>
      </c>
      <c r="T298" s="13">
        <f t="shared" si="74"/>
        <v>0.37498725354133017</v>
      </c>
      <c r="U298" s="13">
        <f t="shared" si="75"/>
        <v>0.36873736818025926</v>
      </c>
      <c r="W298" s="387">
        <f>1*(M298-Val!$D$28)*PI()/4*Val!$D$2^2*(SIN(D298)+Val!$D$18/2*SIN(2*D298)/(1-Val!$D$18^2*SIN(D298)^2)^0.5)*Val!$D$4*(D298-D297)+1*(M298-Val!$D$28)*PI()/4*Val!$D$3^2*(SIN(E298)+Val!$D$19/2*SIN(2*E298)/(1-Val!$D$19^2*SIN(E298)^2)^0.5)*Val!$D$5*(E298-E297)</f>
        <v>0.4444951896272451</v>
      </c>
    </row>
    <row r="299" spans="2:23" ht="13.5">
      <c r="B299" s="32">
        <v>294</v>
      </c>
      <c r="C299" s="32">
        <f>B299-Data!$D$10</f>
        <v>204</v>
      </c>
      <c r="D299" s="30">
        <f t="shared" si="84"/>
        <v>5.1312680008633285</v>
      </c>
      <c r="E299" s="30">
        <f t="shared" si="85"/>
        <v>3.5604716740684323</v>
      </c>
      <c r="F299" s="26">
        <f>Val!$D$11*(1-COS(D299))+Val!$D$12*(1-COS(E299))</f>
        <v>0.0012534042444160471</v>
      </c>
      <c r="G299" s="26">
        <f>Val!$D$11*((1-COS(Calc!D299))+1/Val!$D$18*(1-(1-(Val!$D$18*SIN(Calc!D299))^2)^0.5))+Val!$D$12*((1-COS(Calc!E299))+1/Val!$D$19*(1-(1-(Val!$D$19*SIN(Calc!E299))^2)^0.5))</f>
        <v>0.0013080666471412497</v>
      </c>
      <c r="H299" s="26">
        <f t="shared" si="86"/>
        <v>-5.4662402725202605E-05</v>
      </c>
      <c r="I299" s="22">
        <f>Val!$D$11*(1-COS(D299))+Val!$D$14+Val!$D$13+Val!$D$12*((1-COS(Calc!E299)))+Val!$D$15</f>
        <v>0.001953404244416047</v>
      </c>
      <c r="J299" s="22">
        <f>Val!$D$11*((1-COS(Calc!$D299))+1/Val!$D$18*(1-(1-(Val!$D$18*SIN(Calc!$D299))^2)^0.5))+Val!$D$14+Val!$D$13+Val!$D$12*((1-COS(Calc!$E299))+1/Val!$D$19*(1-(1-(Val!$D$19*SIN(Calc!$E299))^2)^0.5))+Val!$D$15</f>
        <v>0.0020080666471412496</v>
      </c>
      <c r="K299" s="44">
        <f t="shared" si="87"/>
        <v>-5.4662402725202605E-05</v>
      </c>
      <c r="L299" s="50">
        <f>Val!$D$42*Val!$D$22/Val!$D$37/(1-Val!$D$39*COS(D299-Val!$D$40))</f>
        <v>63830.51227656433</v>
      </c>
      <c r="M299" s="50">
        <f>Val!$D$42*Val!$D$22/(Val!$D$11*((1-COS(Calc!D299))+1/Val!$D$18*(1-(1-(Val!$D$18*SIN(Calc!D299))^2)^0.5))/Val!$D$25+Val!$D$14/Val!$D$25+Val!$D$13/Val!$D$27+Val!$D$12*((1-COS(Calc!E299))+1/Val!$D$19*(1-(1-(Val!$D$19*SIN(Calc!E299))^2)^0.5))/Val!$D$26+Val!$D$15/Val!$D$26)</f>
        <v>62742.73481464564</v>
      </c>
      <c r="N299" s="16">
        <f t="shared" si="76"/>
        <v>-0.7395069695842217</v>
      </c>
      <c r="O299" s="16">
        <f t="shared" si="77"/>
        <v>-0.7274772172504724</v>
      </c>
      <c r="P299" s="16">
        <f t="shared" si="78"/>
        <v>1.1559643133365102E-05</v>
      </c>
      <c r="Q299" s="16">
        <f t="shared" si="79"/>
        <v>1.1571045042651617E-05</v>
      </c>
      <c r="R299" s="13">
        <f t="shared" si="72"/>
        <v>0.7935437828737819</v>
      </c>
      <c r="S299" s="13">
        <f t="shared" si="73"/>
        <v>0.8157496370708964</v>
      </c>
      <c r="T299" s="13">
        <f t="shared" si="74"/>
        <v>0.37662510926216664</v>
      </c>
      <c r="U299" s="13">
        <f t="shared" si="75"/>
        <v>0.370206794715779</v>
      </c>
      <c r="W299" s="387">
        <f>1*(M299-Val!$D$28)*PI()/4*Val!$D$2^2*(SIN(D299)+Val!$D$18/2*SIN(2*D299)/(1-Val!$D$18^2*SIN(D299)^2)^0.5)*Val!$D$4*(D299-D298)+1*(M299-Val!$D$28)*PI()/4*Val!$D$3^2*(SIN(E299)+Val!$D$19/2*SIN(2*E299)/(1-Val!$D$19^2*SIN(E299)^2)^0.5)*Val!$D$5*(E299-E298)</f>
        <v>0.4446842801493794</v>
      </c>
    </row>
    <row r="300" spans="2:23" ht="13.5">
      <c r="B300" s="32">
        <v>295</v>
      </c>
      <c r="C300" s="32">
        <f>B300-Data!$D$10</f>
        <v>205</v>
      </c>
      <c r="D300" s="30">
        <f t="shared" si="84"/>
        <v>5.1487212933832724</v>
      </c>
      <c r="E300" s="30">
        <f t="shared" si="85"/>
        <v>3.5779249665883754</v>
      </c>
      <c r="F300" s="26">
        <f>Val!$D$11*(1-COS(D300))+Val!$D$12*(1-COS(E300))</f>
        <v>0.001241844601282682</v>
      </c>
      <c r="G300" s="26">
        <f>Val!$D$11*((1-COS(Calc!D300))+1/Val!$D$18*(1-(1-(Val!$D$18*SIN(Calc!D300))^2)^0.5))+Val!$D$12*((1-COS(Calc!E300))+1/Val!$D$19*(1-(1-(Val!$D$19*SIN(Calc!E300))^2)^0.5))</f>
        <v>0.0012964956020985981</v>
      </c>
      <c r="H300" s="26">
        <f t="shared" si="86"/>
        <v>-5.465100081591609E-05</v>
      </c>
      <c r="I300" s="22">
        <f>Val!$D$11*(1-COS(D300))+Val!$D$14+Val!$D$13+Val!$D$12*((1-COS(Calc!E300)))+Val!$D$15</f>
        <v>0.0019418446012826821</v>
      </c>
      <c r="J300" s="22">
        <f>Val!$D$11*((1-COS(Calc!$D300))+1/Val!$D$18*(1-(1-(Val!$D$18*SIN(Calc!$D300))^2)^0.5))+Val!$D$14+Val!$D$13+Val!$D$12*((1-COS(Calc!$E300))+1/Val!$D$19*(1-(1-(Val!$D$19*SIN(Calc!$E300))^2)^0.5))+Val!$D$15</f>
        <v>0.001996495602098598</v>
      </c>
      <c r="K300" s="44">
        <f t="shared" si="87"/>
        <v>-5.465100081591587E-05</v>
      </c>
      <c r="L300" s="50">
        <f>Val!$D$42*Val!$D$22/Val!$D$37/(1-Val!$D$39*COS(D300-Val!$D$40))</f>
        <v>64115.81981214252</v>
      </c>
      <c r="M300" s="50">
        <f>Val!$D$42*Val!$D$22/(Val!$D$11*((1-COS(Calc!D300))+1/Val!$D$18*(1-(1-(Val!$D$18*SIN(Calc!D300))^2)^0.5))/Val!$D$25+Val!$D$14/Val!$D$25+Val!$D$13/Val!$D$27+Val!$D$12*((1-COS(Calc!E300))+1/Val!$D$19*(1-(1-(Val!$D$19*SIN(Calc!E300))^2)^0.5))/Val!$D$26+Val!$D$15/Val!$D$26)</f>
        <v>62998.23578376522</v>
      </c>
      <c r="N300" s="16">
        <f t="shared" si="76"/>
        <v>-0.7475842614286232</v>
      </c>
      <c r="O300" s="16">
        <f t="shared" si="77"/>
        <v>-0.7351132394436405</v>
      </c>
      <c r="P300" s="16">
        <f t="shared" si="78"/>
        <v>1.1633311381298176E-05</v>
      </c>
      <c r="Q300" s="16">
        <f t="shared" si="79"/>
        <v>1.1644573595979849E-05</v>
      </c>
      <c r="R300" s="13">
        <f t="shared" si="72"/>
        <v>0.7888478358024354</v>
      </c>
      <c r="S300" s="13">
        <f t="shared" si="73"/>
        <v>0.8110490581296985</v>
      </c>
      <c r="T300" s="13">
        <f t="shared" si="74"/>
        <v>0.37830853585437196</v>
      </c>
      <c r="U300" s="13">
        <f t="shared" si="75"/>
        <v>0.3717143508512259</v>
      </c>
      <c r="W300" s="387">
        <f>1*(M300-Val!$D$28)*PI()/4*Val!$D$2^2*(SIN(D300)+Val!$D$18/2*SIN(2*D300)/(1-Val!$D$18^2*SIN(D300)^2)^0.5)*Val!$D$4*(D300-D299)+1*(M300-Val!$D$28)*PI()/4*Val!$D$3^2*(SIN(E300)+Val!$D$19/2*SIN(2*E300)/(1-Val!$D$19^2*SIN(E300)^2)^0.5)*Val!$D$5*(E300-E299)</f>
        <v>0.44462247925225235</v>
      </c>
    </row>
    <row r="301" spans="2:23" ht="13.5">
      <c r="B301" s="32">
        <v>296</v>
      </c>
      <c r="C301" s="32">
        <f>B301-Data!$D$10</f>
        <v>206</v>
      </c>
      <c r="D301" s="30">
        <f t="shared" si="84"/>
        <v>5.1661745859032155</v>
      </c>
      <c r="E301" s="30">
        <f t="shared" si="85"/>
        <v>3.595378259108319</v>
      </c>
      <c r="F301" s="26">
        <f>Val!$D$11*(1-COS(D301))+Val!$D$12*(1-COS(E301))</f>
        <v>0.0012302112899013839</v>
      </c>
      <c r="G301" s="26">
        <f>Val!$D$11*((1-COS(Calc!D301))+1/Val!$D$18*(1-(1-(Val!$D$18*SIN(Calc!D301))^2)^0.5))+Val!$D$12*((1-COS(Calc!E301))+1/Val!$D$19*(1-(1-(Val!$D$19*SIN(Calc!E301))^2)^0.5))</f>
        <v>0.0012848510285026183</v>
      </c>
      <c r="H301" s="26">
        <f t="shared" si="86"/>
        <v>-5.463973860123442E-05</v>
      </c>
      <c r="I301" s="22">
        <f>Val!$D$11*(1-COS(D301))+Val!$D$14+Val!$D$13+Val!$D$12*((1-COS(Calc!E301)))+Val!$D$15</f>
        <v>0.0019302112899013838</v>
      </c>
      <c r="J301" s="22">
        <f>Val!$D$11*((1-COS(Calc!$D301))+1/Val!$D$18*(1-(1-(Val!$D$18*SIN(Calc!$D301))^2)^0.5))+Val!$D$14+Val!$D$13+Val!$D$12*((1-COS(Calc!$E301))+1/Val!$D$19*(1-(1-(Val!$D$19*SIN(Calc!$E301))^2)^0.5))+Val!$D$15</f>
        <v>0.001984851028502618</v>
      </c>
      <c r="K301" s="44">
        <f t="shared" si="87"/>
        <v>-5.46397386012342E-05</v>
      </c>
      <c r="L301" s="50">
        <f>Val!$D$42*Val!$D$22/Val!$D$37/(1-Val!$D$39*COS(D301-Val!$D$40))</f>
        <v>64408.93757214498</v>
      </c>
      <c r="M301" s="50">
        <f>Val!$D$42*Val!$D$22/(Val!$D$11*((1-COS(Calc!D301))+1/Val!$D$18*(1-(1-(Val!$D$18*SIN(Calc!D301))^2)^0.5))/Val!$D$25+Val!$D$14/Val!$D$25+Val!$D$13/Val!$D$27+Val!$D$12*((1-COS(Calc!E301))+1/Val!$D$19*(1-(1-(Val!$D$19*SIN(Calc!E301))^2)^0.5))/Val!$D$26+Val!$D$15/Val!$D$26)</f>
        <v>63260.27138860834</v>
      </c>
      <c r="N301" s="16">
        <f t="shared" si="76"/>
        <v>-0.7555673462981767</v>
      </c>
      <c r="O301" s="16">
        <f t="shared" si="77"/>
        <v>-0.7426362016692234</v>
      </c>
      <c r="P301" s="16">
        <f t="shared" si="78"/>
        <v>1.1703436009889495E-05</v>
      </c>
      <c r="Q301" s="16">
        <f t="shared" si="79"/>
        <v>1.1714503667772328E-05</v>
      </c>
      <c r="R301" s="13">
        <f t="shared" si="72"/>
        <v>0.7841219620119728</v>
      </c>
      <c r="S301" s="13">
        <f t="shared" si="73"/>
        <v>0.806318609218409</v>
      </c>
      <c r="T301" s="13">
        <f t="shared" si="74"/>
        <v>0.38003804584027473</v>
      </c>
      <c r="U301" s="13">
        <f t="shared" si="75"/>
        <v>0.3732604639057008</v>
      </c>
      <c r="W301" s="387">
        <f>1*(M301-Val!$D$28)*PI()/4*Val!$D$2^2*(SIN(D301)+Val!$D$18/2*SIN(2*D301)/(1-Val!$D$18^2*SIN(D301)^2)^0.5)*Val!$D$4*(D301-D300)+1*(M301-Val!$D$28)*PI()/4*Val!$D$3^2*(SIN(E301)+Val!$D$19/2*SIN(2*E301)/(1-Val!$D$19^2*SIN(E301)^2)^0.5)*Val!$D$5*(E301-E300)</f>
        <v>0.44430936048418795</v>
      </c>
    </row>
    <row r="302" spans="2:23" ht="13.5">
      <c r="B302" s="32">
        <v>297</v>
      </c>
      <c r="C302" s="32">
        <f>B302-Data!$D$10</f>
        <v>207</v>
      </c>
      <c r="D302" s="30">
        <f t="shared" si="84"/>
        <v>5.183627878423159</v>
      </c>
      <c r="E302" s="30">
        <f t="shared" si="85"/>
        <v>3.612831551628262</v>
      </c>
      <c r="F302" s="26">
        <f>Val!$D$11*(1-COS(D302))+Val!$D$12*(1-COS(E302))</f>
        <v>0.0012185078538914944</v>
      </c>
      <c r="G302" s="26">
        <f>Val!$D$11*((1-COS(Calc!D302))+1/Val!$D$18*(1-(1-(Val!$D$18*SIN(Calc!D302))^2)^0.5))+Val!$D$12*((1-COS(Calc!E302))+1/Val!$D$19*(1-(1-(Val!$D$19*SIN(Calc!E302))^2)^0.5))</f>
        <v>0.001273136524834846</v>
      </c>
      <c r="H302" s="26">
        <f t="shared" si="86"/>
        <v>-5.462867094335158E-05</v>
      </c>
      <c r="I302" s="22">
        <f>Val!$D$11*(1-COS(D302))+Val!$D$14+Val!$D$13+Val!$D$12*((1-COS(Calc!E302)))+Val!$D$15</f>
        <v>0.0019185078538914945</v>
      </c>
      <c r="J302" s="22">
        <f>Val!$D$11*((1-COS(Calc!$D302))+1/Val!$D$18*(1-(1-(Val!$D$18*SIN(Calc!$D302))^2)^0.5))+Val!$D$14+Val!$D$13+Val!$D$12*((1-COS(Calc!$E302))+1/Val!$D$19*(1-(1-(Val!$D$19*SIN(Calc!$E302))^2)^0.5))+Val!$D$15</f>
        <v>0.0019731365248348456</v>
      </c>
      <c r="K302" s="44">
        <f t="shared" si="87"/>
        <v>-5.462867094335115E-05</v>
      </c>
      <c r="L302" s="50">
        <f>Val!$D$42*Val!$D$22/Val!$D$37/(1-Val!$D$39*COS(D302-Val!$D$40))</f>
        <v>64709.95463348255</v>
      </c>
      <c r="M302" s="50">
        <f>Val!$D$42*Val!$D$22/(Val!$D$11*((1-COS(Calc!D302))+1/Val!$D$18*(1-(1-(Val!$D$18*SIN(Calc!D302))^2)^0.5))/Val!$D$25+Val!$D$14/Val!$D$25+Val!$D$13/Val!$D$27+Val!$D$12*((1-COS(Calc!E302))+1/Val!$D$19*(1-(1-(Val!$D$19*SIN(Calc!E302))^2)^0.5))/Val!$D$26+Val!$D$15/Val!$D$26)</f>
        <v>63528.91622542324</v>
      </c>
      <c r="N302" s="16">
        <f t="shared" si="76"/>
        <v>-0.7634543944973102</v>
      </c>
      <c r="O302" s="16">
        <f t="shared" si="77"/>
        <v>-0.7500442104224069</v>
      </c>
      <c r="P302" s="16">
        <f t="shared" si="78"/>
        <v>1.1769995658499023E-05</v>
      </c>
      <c r="Q302" s="16">
        <f t="shared" si="79"/>
        <v>1.1780814847119113E-05</v>
      </c>
      <c r="R302" s="13">
        <f t="shared" si="72"/>
        <v>0.7793676010493319</v>
      </c>
      <c r="S302" s="13">
        <f t="shared" si="73"/>
        <v>0.8015597521709822</v>
      </c>
      <c r="T302" s="13">
        <f t="shared" si="74"/>
        <v>0.38181416480865815</v>
      </c>
      <c r="U302" s="13">
        <f t="shared" si="75"/>
        <v>0.3748455740263864</v>
      </c>
      <c r="W302" s="387">
        <f>1*(M302-Val!$D$28)*PI()/4*Val!$D$2^2*(SIN(D302)+Val!$D$18/2*SIN(2*D302)/(1-Val!$D$18^2*SIN(D302)^2)^0.5)*Val!$D$4*(D302-D301)+1*(M302-Val!$D$28)*PI()/4*Val!$D$3^2*(SIN(E302)+Val!$D$19/2*SIN(2*E302)/(1-Val!$D$19^2*SIN(E302)^2)^0.5)*Val!$D$5*(E302-E301)</f>
        <v>0.4437446652489714</v>
      </c>
    </row>
    <row r="303" spans="2:23" ht="13.5">
      <c r="B303" s="32">
        <v>298</v>
      </c>
      <c r="C303" s="32">
        <f>B303-Data!$D$10</f>
        <v>208</v>
      </c>
      <c r="D303" s="30">
        <f t="shared" si="84"/>
        <v>5.201081170943102</v>
      </c>
      <c r="E303" s="30">
        <f t="shared" si="85"/>
        <v>3.6302848441482056</v>
      </c>
      <c r="F303" s="26">
        <f>Val!$D$11*(1-COS(D303))+Val!$D$12*(1-COS(E303))</f>
        <v>0.0012067378582329953</v>
      </c>
      <c r="G303" s="26">
        <f>Val!$D$11*((1-COS(Calc!D303))+1/Val!$D$18*(1-(1-(Val!$D$18*SIN(Calc!D303))^2)^0.5))+Val!$D$12*((1-COS(Calc!E303))+1/Val!$D$19*(1-(1-(Val!$D$19*SIN(Calc!E303))^2)^0.5))</f>
        <v>0.0012613557099877268</v>
      </c>
      <c r="H303" s="26">
        <f t="shared" si="86"/>
        <v>-5.461785175473149E-05</v>
      </c>
      <c r="I303" s="22">
        <f>Val!$D$11*(1-COS(D303))+Val!$D$14+Val!$D$13+Val!$D$12*((1-COS(Calc!E303)))+Val!$D$15</f>
        <v>0.0019067378582329955</v>
      </c>
      <c r="J303" s="22">
        <f>Val!$D$11*((1-COS(Calc!$D303))+1/Val!$D$18*(1-(1-(Val!$D$18*SIN(Calc!$D303))^2)^0.5))+Val!$D$14+Val!$D$13+Val!$D$12*((1-COS(Calc!$E303))+1/Val!$D$19*(1-(1-(Val!$D$19*SIN(Calc!$E303))^2)^0.5))+Val!$D$15</f>
        <v>0.0019613557099877267</v>
      </c>
      <c r="K303" s="44">
        <f t="shared" si="87"/>
        <v>-5.4617851754731276E-05</v>
      </c>
      <c r="L303" s="50">
        <f>Val!$D$42*Val!$D$22/Val!$D$37/(1-Val!$D$39*COS(D303-Val!$D$40))</f>
        <v>65018.96229199239</v>
      </c>
      <c r="M303" s="50">
        <f>Val!$D$42*Val!$D$22/(Val!$D$11*((1-COS(Calc!D303))+1/Val!$D$18*(1-(1-(Val!$D$18*SIN(Calc!D303))^2)^0.5))/Val!$D$25+Val!$D$14/Val!$D$25+Val!$D$13/Val!$D$27+Val!$D$12*((1-COS(Calc!E303))+1/Val!$D$19*(1-(1-(Val!$D$19*SIN(Calc!E303))^2)^0.5))/Val!$D$26+Val!$D$15/Val!$D$26)</f>
        <v>63804.24708387653</v>
      </c>
      <c r="N303" s="16">
        <f t="shared" si="76"/>
        <v>-0.7712435023696563</v>
      </c>
      <c r="O303" s="16">
        <f t="shared" si="77"/>
        <v>-0.7573353388585675</v>
      </c>
      <c r="P303" s="16">
        <f t="shared" si="78"/>
        <v>1.1832970052412777E-05</v>
      </c>
      <c r="Q303" s="16">
        <f t="shared" si="79"/>
        <v>1.1843488071539227E-05</v>
      </c>
      <c r="R303" s="13">
        <f t="shared" si="72"/>
        <v>0.7745862011389179</v>
      </c>
      <c r="S303" s="13">
        <f t="shared" si="73"/>
        <v>0.7967739571130252</v>
      </c>
      <c r="T303" s="13">
        <f t="shared" si="74"/>
        <v>0.3836374314408429</v>
      </c>
      <c r="U303" s="13">
        <f t="shared" si="75"/>
        <v>0.3764701343024957</v>
      </c>
      <c r="W303" s="387">
        <f>1*(M303-Val!$D$28)*PI()/4*Val!$D$2^2*(SIN(D303)+Val!$D$18/2*SIN(2*D303)/(1-Val!$D$18^2*SIN(D303)^2)^0.5)*Val!$D$4*(D303-D302)+1*(M303-Val!$D$28)*PI()/4*Val!$D$3^2*(SIN(E303)+Val!$D$19/2*SIN(2*E303)/(1-Val!$D$19^2*SIN(E303)^2)^0.5)*Val!$D$5*(E303-E302)</f>
        <v>0.44292830420464707</v>
      </c>
    </row>
    <row r="304" spans="2:23" ht="13.5">
      <c r="B304" s="32">
        <v>299</v>
      </c>
      <c r="C304" s="32">
        <f>B304-Data!$D$10</f>
        <v>209</v>
      </c>
      <c r="D304" s="30">
        <f t="shared" si="84"/>
        <v>5.218534463463046</v>
      </c>
      <c r="E304" s="30">
        <f t="shared" si="85"/>
        <v>3.6477381366681487</v>
      </c>
      <c r="F304" s="26">
        <f>Val!$D$11*(1-COS(D304))+Val!$D$12*(1-COS(E304))</f>
        <v>0.0011949048881805826</v>
      </c>
      <c r="G304" s="26">
        <f>Val!$D$11*((1-COS(Calc!D304))+1/Val!$D$18*(1-(1-(Val!$D$18*SIN(Calc!D304))^2)^0.5))+Val!$D$12*((1-COS(Calc!E304))+1/Val!$D$19*(1-(1-(Val!$D$19*SIN(Calc!E304))^2)^0.5))</f>
        <v>0.0012495122219161876</v>
      </c>
      <c r="H304" s="26">
        <f t="shared" si="86"/>
        <v>-5.460733373560504E-05</v>
      </c>
      <c r="I304" s="22">
        <f>Val!$D$11*(1-COS(D304))+Val!$D$14+Val!$D$13+Val!$D$12*((1-COS(Calc!E304)))+Val!$D$15</f>
        <v>0.0018949048881805827</v>
      </c>
      <c r="J304" s="22">
        <f>Val!$D$11*((1-COS(Calc!$D304))+1/Val!$D$18*(1-(1-(Val!$D$18*SIN(Calc!$D304))^2)^0.5))+Val!$D$14+Val!$D$13+Val!$D$12*((1-COS(Calc!$E304))+1/Val!$D$19*(1-(1-(Val!$D$19*SIN(Calc!$E304))^2)^0.5))+Val!$D$15</f>
        <v>0.0019495122219161875</v>
      </c>
      <c r="K304" s="44">
        <f t="shared" si="87"/>
        <v>-5.4607333735604826E-05</v>
      </c>
      <c r="L304" s="50">
        <f>Val!$D$42*Val!$D$22/Val!$D$37/(1-Val!$D$39*COS(D304-Val!$D$40))</f>
        <v>65336.05406544316</v>
      </c>
      <c r="M304" s="50">
        <f>Val!$D$42*Val!$D$22/(Val!$D$11*((1-COS(Calc!D304))+1/Val!$D$18*(1-(1-(Val!$D$18*SIN(Calc!D304))^2)^0.5))/Val!$D$25+Val!$D$14/Val!$D$25+Val!$D$13/Val!$D$27+Val!$D$12*((1-COS(Calc!E304))+1/Val!$D$19*(1-(1-(Val!$D$19*SIN(Calc!E304))^2)^0.5))/Val!$D$26+Val!$D$15/Val!$D$26)</f>
        <v>64086.34296594166</v>
      </c>
      <c r="N304" s="16">
        <f t="shared" si="76"/>
        <v>-0.7789326902007421</v>
      </c>
      <c r="O304" s="16">
        <f t="shared" si="77"/>
        <v>-0.7645076254930399</v>
      </c>
      <c r="P304" s="16">
        <f t="shared" si="78"/>
        <v>1.1892340009019313E-05</v>
      </c>
      <c r="Q304" s="16">
        <f t="shared" si="79"/>
        <v>1.1902505627210723E-05</v>
      </c>
      <c r="R304" s="13">
        <f t="shared" si="72"/>
        <v>0.7697792187414618</v>
      </c>
      <c r="S304" s="13">
        <f t="shared" si="73"/>
        <v>0.7919627019140179</v>
      </c>
      <c r="T304" s="13">
        <f t="shared" si="74"/>
        <v>0.3855083975284185</v>
      </c>
      <c r="U304" s="13">
        <f t="shared" si="75"/>
        <v>0.37813461087672173</v>
      </c>
      <c r="W304" s="387">
        <f>1*(M304-Val!$D$28)*PI()/4*Val!$D$2^2*(SIN(D304)+Val!$D$18/2*SIN(2*D304)/(1-Val!$D$18^2*SIN(D304)^2)^0.5)*Val!$D$4*(D304-D303)+1*(M304-Val!$D$28)*PI()/4*Val!$D$3^2*(SIN(E304)+Val!$D$19/2*SIN(2*E304)/(1-Val!$D$19^2*SIN(E304)^2)^0.5)*Val!$D$5*(E304-E303)</f>
        <v>0.44186035861093875</v>
      </c>
    </row>
    <row r="305" spans="2:23" ht="13.5">
      <c r="B305" s="32">
        <v>300</v>
      </c>
      <c r="C305" s="32">
        <f>B305-Data!$D$10</f>
        <v>210</v>
      </c>
      <c r="D305" s="30">
        <f t="shared" si="84"/>
        <v>5.235987755982989</v>
      </c>
      <c r="E305" s="30">
        <f t="shared" si="85"/>
        <v>3.6651914291880923</v>
      </c>
      <c r="F305" s="26">
        <f>Val!$D$11*(1-COS(D305))+Val!$D$12*(1-COS(E305))</f>
        <v>0.0011830125481715633</v>
      </c>
      <c r="G305" s="26">
        <f>Val!$D$11*((1-COS(Calc!D305))+1/Val!$D$18*(1-(1-(Val!$D$18*SIN(Calc!D305))^2)^0.5))+Val!$D$12*((1-COS(Calc!E305))+1/Val!$D$19*(1-(1-(Val!$D$19*SIN(Calc!E305))^2)^0.5))</f>
        <v>0.0012376097162889769</v>
      </c>
      <c r="H305" s="26">
        <f t="shared" si="86"/>
        <v>-5.459716811741363E-05</v>
      </c>
      <c r="I305" s="22">
        <f>Val!$D$11*(1-COS(D305))+Val!$D$14+Val!$D$13+Val!$D$12*((1-COS(Calc!E305)))+Val!$D$15</f>
        <v>0.0018830125481715634</v>
      </c>
      <c r="J305" s="22">
        <f>Val!$D$11*((1-COS(Calc!$D305))+1/Val!$D$18*(1-(1-(Val!$D$18*SIN(Calc!$D305))^2)^0.5))+Val!$D$14+Val!$D$13+Val!$D$12*((1-COS(Calc!$E305))+1/Val!$D$19*(1-(1-(Val!$D$19*SIN(Calc!$E305))^2)^0.5))+Val!$D$15</f>
        <v>0.001937609716288977</v>
      </c>
      <c r="K305" s="44">
        <f t="shared" si="87"/>
        <v>-5.459716811741363E-05</v>
      </c>
      <c r="L305" s="50">
        <f>Val!$D$42*Val!$D$22/Val!$D$37/(1-Val!$D$39*COS(D305-Val!$D$40))</f>
        <v>65661.32569497218</v>
      </c>
      <c r="M305" s="50">
        <f>Val!$D$42*Val!$D$22/(Val!$D$11*((1-COS(Calc!D305))+1/Val!$D$18*(1-(1-(Val!$D$18*SIN(Calc!D305))^2)^0.5))/Val!$D$25+Val!$D$14/Val!$D$25+Val!$D$13/Val!$D$27+Val!$D$12*((1-COS(Calc!E305))+1/Val!$D$19*(1-(1-(Val!$D$19*SIN(Calc!E305))^2)^0.5))/Val!$D$26+Val!$D$15/Val!$D$26)</f>
        <v>64375.28510425003</v>
      </c>
      <c r="N305" s="16">
        <f t="shared" si="76"/>
        <v>-0.7865199000665224</v>
      </c>
      <c r="O305" s="16">
        <f t="shared" si="77"/>
        <v>-0.7715590727865497</v>
      </c>
      <c r="P305" s="16">
        <f t="shared" si="78"/>
        <v>1.1948087443655738E-05</v>
      </c>
      <c r="Q305" s="16">
        <f t="shared" si="79"/>
        <v>1.1957851147637337E-05</v>
      </c>
      <c r="R305" s="13">
        <f t="shared" si="72"/>
        <v>0.7649481181103687</v>
      </c>
      <c r="S305" s="13">
        <f t="shared" si="73"/>
        <v>0.7871274716394381</v>
      </c>
      <c r="T305" s="13">
        <f t="shared" si="74"/>
        <v>0.38742762798172364</v>
      </c>
      <c r="U305" s="13">
        <f t="shared" si="75"/>
        <v>0.37983948305351595</v>
      </c>
      <c r="W305" s="387">
        <f>1*(M305-Val!$D$28)*PI()/4*Val!$D$2^2*(SIN(D305)+Val!$D$18/2*SIN(2*D305)/(1-Val!$D$18^2*SIN(D305)^2)^0.5)*Val!$D$4*(D305-D304)+1*(M305-Val!$D$28)*PI()/4*Val!$D$3^2*(SIN(E305)+Val!$D$19/2*SIN(2*E305)/(1-Val!$D$19^2*SIN(E305)^2)^0.5)*Val!$D$5*(E305-E304)</f>
        <v>0.4405410816297287</v>
      </c>
    </row>
    <row r="306" spans="2:23" ht="13.5">
      <c r="B306" s="32">
        <v>301</v>
      </c>
      <c r="C306" s="32">
        <f>B306-Data!$D$10</f>
        <v>211</v>
      </c>
      <c r="D306" s="30">
        <f t="shared" si="84"/>
        <v>5.253441048502932</v>
      </c>
      <c r="E306" s="30">
        <f t="shared" si="85"/>
        <v>3.6826447217080354</v>
      </c>
      <c r="F306" s="26">
        <f>Val!$D$11*(1-COS(D306))+Val!$D$12*(1-COS(E306))</f>
        <v>0.0011710644607279075</v>
      </c>
      <c r="G306" s="26">
        <f>Val!$D$11*((1-COS(Calc!D306))+1/Val!$D$18*(1-(1-(Val!$D$18*SIN(Calc!D306))^2)^0.5))+Val!$D$12*((1-COS(Calc!E306))+1/Val!$D$19*(1-(1-(Val!$D$19*SIN(Calc!E306))^2)^0.5))</f>
        <v>0.0012256518651413396</v>
      </c>
      <c r="H306" s="26">
        <f t="shared" si="86"/>
        <v>-5.4587404413432034E-05</v>
      </c>
      <c r="I306" s="22">
        <f>Val!$D$11*(1-COS(D306))+Val!$D$14+Val!$D$13+Val!$D$12*((1-COS(Calc!E306)))+Val!$D$15</f>
        <v>0.0018710644607279074</v>
      </c>
      <c r="J306" s="22">
        <f>Val!$D$11*((1-COS(Calc!$D306))+1/Val!$D$18*(1-(1-(Val!$D$18*SIN(Calc!$D306))^2)^0.5))+Val!$D$14+Val!$D$13+Val!$D$12*((1-COS(Calc!$E306))+1/Val!$D$19*(1-(1-(Val!$D$19*SIN(Calc!$E306))^2)^0.5))+Val!$D$15</f>
        <v>0.0019256518651413394</v>
      </c>
      <c r="K306" s="44">
        <f t="shared" si="87"/>
        <v>-5.4587404413432034E-05</v>
      </c>
      <c r="L306" s="50">
        <f>Val!$D$42*Val!$D$22/Val!$D$37/(1-Val!$D$39*COS(D306-Val!$D$40))</f>
        <v>65994.87514479298</v>
      </c>
      <c r="M306" s="50">
        <f>Val!$D$42*Val!$D$22/(Val!$D$11*((1-COS(Calc!D306))+1/Val!$D$18*(1-(1-(Val!$D$18*SIN(Calc!D306))^2)^0.5))/Val!$D$25+Val!$D$14/Val!$D$25+Val!$D$13/Val!$D$27+Val!$D$12*((1-COS(Calc!E306))+1/Val!$D$19*(1-(1-(Val!$D$19*SIN(Calc!E306))^2)^0.5))/Val!$D$26+Val!$D$15/Val!$D$26)</f>
        <v>64671.15697978315</v>
      </c>
      <c r="N306" s="16">
        <f t="shared" si="76"/>
        <v>-0.794002993626981</v>
      </c>
      <c r="O306" s="16">
        <f t="shared" si="77"/>
        <v>-0.7784876456117427</v>
      </c>
      <c r="P306" s="16">
        <f t="shared" si="78"/>
        <v>1.2000195375112864E-05</v>
      </c>
      <c r="Q306" s="16">
        <f t="shared" si="79"/>
        <v>1.2009509610754962E-05</v>
      </c>
      <c r="R306" s="13">
        <f t="shared" si="72"/>
        <v>0.7600943708456903</v>
      </c>
      <c r="S306" s="13">
        <f t="shared" si="73"/>
        <v>0.782269758003429</v>
      </c>
      <c r="T306" s="13">
        <f t="shared" si="74"/>
        <v>0.3893957008281203</v>
      </c>
      <c r="U306" s="13">
        <f t="shared" si="75"/>
        <v>0.38158524340347905</v>
      </c>
      <c r="W306" s="387">
        <f>1*(M306-Val!$D$28)*PI()/4*Val!$D$2^2*(SIN(D306)+Val!$D$18/2*SIN(2*D306)/(1-Val!$D$18^2*SIN(D306)^2)^0.5)*Val!$D$4*(D306-D305)+1*(M306-Val!$D$28)*PI()/4*Val!$D$3^2*(SIN(E306)+Val!$D$19/2*SIN(2*E306)/(1-Val!$D$19^2*SIN(E306)^2)^0.5)*Val!$D$5*(E306-E305)</f>
        <v>0.4389708995839252</v>
      </c>
    </row>
    <row r="307" spans="2:23" ht="13.5">
      <c r="B307" s="32">
        <v>302</v>
      </c>
      <c r="C307" s="32">
        <f>B307-Data!$D$10</f>
        <v>212</v>
      </c>
      <c r="D307" s="30">
        <f t="shared" si="84"/>
        <v>5.270894341022875</v>
      </c>
      <c r="E307" s="30">
        <f t="shared" si="85"/>
        <v>3.7000980142279785</v>
      </c>
      <c r="F307" s="26">
        <f>Val!$D$11*(1-COS(D307))+Val!$D$12*(1-COS(E307))</f>
        <v>0.0011590642653527947</v>
      </c>
      <c r="G307" s="26">
        <f>Val!$D$11*((1-COS(Calc!D307))+1/Val!$D$18*(1-(1-(Val!$D$18*SIN(Calc!D307))^2)^0.5))+Val!$D$12*((1-COS(Calc!E307))+1/Val!$D$19*(1-(1-(Val!$D$19*SIN(Calc!E307))^2)^0.5))</f>
        <v>0.0012136423555305846</v>
      </c>
      <c r="H307" s="26">
        <f t="shared" si="86"/>
        <v>-5.4578090177789937E-05</v>
      </c>
      <c r="I307" s="22">
        <f>Val!$D$11*(1-COS(D307))+Val!$D$14+Val!$D$13+Val!$D$12*((1-COS(Calc!E307)))+Val!$D$15</f>
        <v>0.0018590642653527948</v>
      </c>
      <c r="J307" s="22">
        <f>Val!$D$11*((1-COS(Calc!$D307))+1/Val!$D$18*(1-(1-(Val!$D$18*SIN(Calc!$D307))^2)^0.5))+Val!$D$14+Val!$D$13+Val!$D$12*((1-COS(Calc!$E307))+1/Val!$D$19*(1-(1-(Val!$D$19*SIN(Calc!$E307))^2)^0.5))+Val!$D$15</f>
        <v>0.0019136423555305845</v>
      </c>
      <c r="K307" s="44">
        <f t="shared" si="87"/>
        <v>-5.457809017778972E-05</v>
      </c>
      <c r="L307" s="50">
        <f>Val!$D$42*Val!$D$22/Val!$D$37/(1-Val!$D$39*COS(D307-Val!$D$40))</f>
        <v>66336.8026</v>
      </c>
      <c r="M307" s="50">
        <f>Val!$D$42*Val!$D$22/(Val!$D$11*((1-COS(Calc!D307))+1/Val!$D$18*(1-(1-(Val!$D$18*SIN(Calc!D307))^2)^0.5))/Val!$D$25+Val!$D$14/Val!$D$25+Val!$D$13/Val!$D$27+Val!$D$12*((1-COS(Calc!E307))+1/Val!$D$19*(1-(1-(Val!$D$19*SIN(Calc!E307))^2)^0.5))/Val!$D$26+Val!$D$15/Val!$D$26)</f>
        <v>64974.04433877494</v>
      </c>
      <c r="N307" s="16">
        <f t="shared" si="76"/>
        <v>-0.8013797498655343</v>
      </c>
      <c r="O307" s="16">
        <f t="shared" si="77"/>
        <v>-0.785291269601694</v>
      </c>
      <c r="P307" s="16">
        <f t="shared" si="78"/>
        <v>1.204864793081053E-05</v>
      </c>
      <c r="Q307" s="16">
        <f t="shared" si="79"/>
        <v>1.205746733453977E-05</v>
      </c>
      <c r="R307" s="13">
        <f t="shared" si="72"/>
        <v>0.7552194554458632</v>
      </c>
      <c r="S307" s="13">
        <f t="shared" si="73"/>
        <v>0.7773910588226425</v>
      </c>
      <c r="T307" s="13">
        <f t="shared" si="74"/>
        <v>0.3914132071990406</v>
      </c>
      <c r="U307" s="13">
        <f t="shared" si="75"/>
        <v>0.3833723978630916</v>
      </c>
      <c r="W307" s="387">
        <f>1*(M307-Val!$D$28)*PI()/4*Val!$D$2^2*(SIN(D307)+Val!$D$18/2*SIN(2*D307)/(1-Val!$D$18^2*SIN(D307)^2)^0.5)*Val!$D$4*(D307-D306)+1*(M307-Val!$D$28)*PI()/4*Val!$D$3^2*(SIN(E307)+Val!$D$19/2*SIN(2*E307)/(1-Val!$D$19^2*SIN(E307)^2)^0.5)*Val!$D$5*(E307-E306)</f>
        <v>0.43715041317979286</v>
      </c>
    </row>
    <row r="308" spans="2:23" ht="13.5">
      <c r="B308" s="32">
        <v>303</v>
      </c>
      <c r="C308" s="32">
        <f>B308-Data!$D$10</f>
        <v>213</v>
      </c>
      <c r="D308" s="30">
        <f t="shared" si="84"/>
        <v>5.288347633542818</v>
      </c>
      <c r="E308" s="30">
        <f t="shared" si="85"/>
        <v>3.717551306747922</v>
      </c>
      <c r="F308" s="26">
        <f>Val!$D$11*(1-COS(D308))+Val!$D$12*(1-COS(E308))</f>
        <v>0.0011470156174219841</v>
      </c>
      <c r="G308" s="26">
        <f>Val!$D$11*((1-COS(Calc!D308))+1/Val!$D$18*(1-(1-(Val!$D$18*SIN(Calc!D308))^2)^0.5))+Val!$D$12*((1-COS(Calc!E308))+1/Val!$D$19*(1-(1-(Val!$D$19*SIN(Calc!E308))^2)^0.5))</f>
        <v>0.0012015848881960448</v>
      </c>
      <c r="H308" s="26">
        <f t="shared" si="86"/>
        <v>-5.45692707740607E-05</v>
      </c>
      <c r="I308" s="22">
        <f>Val!$D$11*(1-COS(D308))+Val!$D$14+Val!$D$13+Val!$D$12*((1-COS(Calc!E308)))+Val!$D$15</f>
        <v>0.001847015617421984</v>
      </c>
      <c r="J308" s="22">
        <f>Val!$D$11*((1-COS(Calc!$D308))+1/Val!$D$18*(1-(1-(Val!$D$18*SIN(Calc!$D308))^2)^0.5))+Val!$D$14+Val!$D$13+Val!$D$12*((1-COS(Calc!$E308))+1/Val!$D$19*(1-(1-(Val!$D$19*SIN(Calc!$E308))^2)^0.5))+Val!$D$15</f>
        <v>0.0019015848881960447</v>
      </c>
      <c r="K308" s="44">
        <f t="shared" si="87"/>
        <v>-5.45692707740607E-05</v>
      </c>
      <c r="L308" s="50">
        <f>Val!$D$42*Val!$D$22/Val!$D$37/(1-Val!$D$39*COS(D308-Val!$D$40))</f>
        <v>66687.21046228721</v>
      </c>
      <c r="M308" s="50">
        <f>Val!$D$42*Val!$D$22/(Val!$D$11*((1-COS(Calc!D308))+1/Val!$D$18*(1-(1-(Val!$D$18*SIN(Calc!D308))^2)^0.5))/Val!$D$25+Val!$D$14/Val!$D$25+Val!$D$13/Val!$D$27+Val!$D$12*((1-COS(Calc!E308))+1/Val!$D$19*(1-(1-(Val!$D$19*SIN(Calc!E308))^2)^0.5))/Val!$D$26+Val!$D$15/Val!$D$26)</f>
        <v>65284.03520868558</v>
      </c>
      <c r="N308" s="16">
        <f t="shared" si="76"/>
        <v>-0.8086478627723733</v>
      </c>
      <c r="O308" s="16">
        <f t="shared" si="77"/>
        <v>-0.7919678293776622</v>
      </c>
      <c r="P308" s="16">
        <f t="shared" si="78"/>
        <v>1.209343035163098E-05</v>
      </c>
      <c r="Q308" s="16">
        <f t="shared" si="79"/>
        <v>1.2101711971158067E-05</v>
      </c>
      <c r="R308" s="13">
        <f t="shared" si="72"/>
        <v>0.7503248568573422</v>
      </c>
      <c r="S308" s="13">
        <f t="shared" si="73"/>
        <v>0.7724928774718652</v>
      </c>
      <c r="T308" s="13">
        <f t="shared" si="74"/>
        <v>0.3934807513047253</v>
      </c>
      <c r="U308" s="13">
        <f t="shared" si="75"/>
        <v>0.38520146582896525</v>
      </c>
      <c r="W308" s="387">
        <f>1*(M308-Val!$D$28)*PI()/4*Val!$D$2^2*(SIN(D308)+Val!$D$18/2*SIN(2*D308)/(1-Val!$D$18^2*SIN(D308)^2)^0.5)*Val!$D$4*(D308-D307)+1*(M308-Val!$D$28)*PI()/4*Val!$D$3^2*(SIN(E308)+Val!$D$19/2*SIN(2*E308)/(1-Val!$D$19^2*SIN(E308)^2)^0.5)*Val!$D$5*(E308-E307)</f>
        <v>0.4350803986988798</v>
      </c>
    </row>
    <row r="309" spans="2:23" ht="13.5">
      <c r="B309" s="32">
        <v>304</v>
      </c>
      <c r="C309" s="32">
        <f>B309-Data!$D$10</f>
        <v>214</v>
      </c>
      <c r="D309" s="30">
        <f t="shared" si="84"/>
        <v>5.305800926062762</v>
      </c>
      <c r="E309" s="30">
        <f t="shared" si="85"/>
        <v>3.735004599267865</v>
      </c>
      <c r="F309" s="26">
        <f>Val!$D$11*(1-COS(D309))+Val!$D$12*(1-COS(E309))</f>
        <v>0.0011349221870703531</v>
      </c>
      <c r="G309" s="26">
        <f>Val!$D$11*((1-COS(Calc!D309))+1/Val!$D$18*(1-(1-(Val!$D$18*SIN(Calc!D309))^2)^0.5))+Val!$D$12*((1-COS(Calc!E309))+1/Val!$D$19*(1-(1-(Val!$D$19*SIN(Calc!E309))^2)^0.5))</f>
        <v>0.0011894831762248868</v>
      </c>
      <c r="H309" s="26">
        <f t="shared" si="86"/>
        <v>-5.456098915453361E-05</v>
      </c>
      <c r="I309" s="22">
        <f>Val!$D$11*(1-COS(D309))+Val!$D$14+Val!$D$13+Val!$D$12*((1-COS(Calc!E309)))+Val!$D$15</f>
        <v>0.001834922187070353</v>
      </c>
      <c r="J309" s="22">
        <f>Val!$D$11*((1-COS(Calc!$D309))+1/Val!$D$18*(1-(1-(Val!$D$18*SIN(Calc!$D309))^2)^0.5))+Val!$D$14+Val!$D$13+Val!$D$12*((1-COS(Calc!$E309))+1/Val!$D$19*(1-(1-(Val!$D$19*SIN(Calc!$E309))^2)^0.5))+Val!$D$15</f>
        <v>0.0018894831762248869</v>
      </c>
      <c r="K309" s="44">
        <f t="shared" si="87"/>
        <v>-5.456098915453383E-05</v>
      </c>
      <c r="L309" s="50">
        <f>Val!$D$42*Val!$D$22/Val!$D$37/(1-Val!$D$39*COS(D309-Val!$D$40))</f>
        <v>67046.2033433854</v>
      </c>
      <c r="M309" s="50">
        <f>Val!$D$42*Val!$D$22/(Val!$D$11*((1-COS(Calc!D309))+1/Val!$D$18*(1-(1-(Val!$D$18*SIN(Calc!D309))^2)^0.5))/Val!$D$25+Val!$D$14/Val!$D$25+Val!$D$13/Val!$D$27+Val!$D$12*((1-COS(Calc!E309))+1/Val!$D$19*(1-(1-(Val!$D$19*SIN(Calc!E309))^2)^0.5))/Val!$D$26+Val!$D$15/Val!$D$26)</f>
        <v>65601.2199130969</v>
      </c>
      <c r="N309" s="16">
        <f t="shared" si="76"/>
        <v>-0.8158049389732034</v>
      </c>
      <c r="O309" s="16">
        <f t="shared" si="77"/>
        <v>-0.7985151666553998</v>
      </c>
      <c r="P309" s="16">
        <f t="shared" si="78"/>
        <v>1.2134528996413747E-05</v>
      </c>
      <c r="Q309" s="16">
        <f t="shared" si="79"/>
        <v>1.214223249970019E-05</v>
      </c>
      <c r="R309" s="13">
        <f t="shared" si="72"/>
        <v>0.7454120660222723</v>
      </c>
      <c r="S309" s="13">
        <f t="shared" si="73"/>
        <v>0.767576722342023</v>
      </c>
      <c r="T309" s="13">
        <f t="shared" si="74"/>
        <v>0.39559895039550064</v>
      </c>
      <c r="U309" s="13">
        <f t="shared" si="75"/>
        <v>0.387072980245732</v>
      </c>
      <c r="W309" s="387">
        <f>1*(M309-Val!$D$28)*PI()/4*Val!$D$2^2*(SIN(D309)+Val!$D$18/2*SIN(2*D309)/(1-Val!$D$18^2*SIN(D309)^2)^0.5)*Val!$D$4*(D309-D308)+1*(M309-Val!$D$28)*PI()/4*Val!$D$3^2*(SIN(E309)+Val!$D$19/2*SIN(2*E309)/(1-Val!$D$19^2*SIN(E309)^2)^0.5)*Val!$D$5*(E309-E308)</f>
        <v>0.4327618091654023</v>
      </c>
    </row>
    <row r="310" spans="2:23" ht="13.5">
      <c r="B310" s="32">
        <v>305</v>
      </c>
      <c r="C310" s="32">
        <f>B310-Data!$D$10</f>
        <v>215</v>
      </c>
      <c r="D310" s="30">
        <f t="shared" si="84"/>
        <v>5.323254218582705</v>
      </c>
      <c r="E310" s="30">
        <f t="shared" si="85"/>
        <v>3.7524578917878086</v>
      </c>
      <c r="F310" s="26">
        <f>Val!$D$11*(1-COS(D310))+Val!$D$12*(1-COS(E310))</f>
        <v>0.0011227876580739394</v>
      </c>
      <c r="G310" s="26">
        <f>Val!$D$11*((1-COS(Calc!D310))+1/Val!$D$18*(1-(1-(Val!$D$18*SIN(Calc!D310))^2)^0.5))+Val!$D$12*((1-COS(Calc!E310))+1/Val!$D$19*(1-(1-(Val!$D$19*SIN(Calc!E310))^2)^0.5))</f>
        <v>0.0011773409437251866</v>
      </c>
      <c r="H310" s="26">
        <f t="shared" si="86"/>
        <v>-5.455328565124717E-05</v>
      </c>
      <c r="I310" s="22">
        <f>Val!$D$11*(1-COS(D310))+Val!$D$14+Val!$D$13+Val!$D$12*((1-COS(Calc!E310)))+Val!$D$15</f>
        <v>0.0018227876580739393</v>
      </c>
      <c r="J310" s="22">
        <f>Val!$D$11*((1-COS(Calc!$D310))+1/Val!$D$18*(1-(1-(Val!$D$18*SIN(Calc!$D310))^2)^0.5))+Val!$D$14+Val!$D$13+Val!$D$12*((1-COS(Calc!$E310))+1/Val!$D$19*(1-(1-(Val!$D$19*SIN(Calc!$E310))^2)^0.5))+Val!$D$15</f>
        <v>0.0018773409437251865</v>
      </c>
      <c r="K310" s="44">
        <f t="shared" si="87"/>
        <v>-5.455328565124717E-05</v>
      </c>
      <c r="L310" s="50">
        <f>Val!$D$42*Val!$D$22/Val!$D$37/(1-Val!$D$39*COS(D310-Val!$D$40))</f>
        <v>67413.88805601007</v>
      </c>
      <c r="M310" s="50">
        <f>Val!$D$42*Val!$D$22/(Val!$D$11*((1-COS(Calc!D310))+1/Val!$D$18*(1-(1-(Val!$D$18*SIN(Calc!D310))^2)^0.5))/Val!$D$25+Val!$D$14/Val!$D$25+Val!$D$13/Val!$D$27+Val!$D$12*((1-COS(Calc!E310))+1/Val!$D$19*(1-(1-(Val!$D$19*SIN(Calc!E310))^2)^0.5))/Val!$D$26+Val!$D$15/Val!$D$26)</f>
        <v>65925.69108537097</v>
      </c>
      <c r="N310" s="16">
        <f t="shared" si="76"/>
        <v>-0.8228484953023216</v>
      </c>
      <c r="O310" s="16">
        <f t="shared" si="77"/>
        <v>-0.8049310782296574</v>
      </c>
      <c r="P310" s="16">
        <f t="shared" si="78"/>
        <v>1.217193134611487E-05</v>
      </c>
      <c r="Q310" s="16">
        <f t="shared" si="79"/>
        <v>1.2179019217572378E-05</v>
      </c>
      <c r="R310" s="13">
        <f t="shared" si="72"/>
        <v>0.7404825794243334</v>
      </c>
      <c r="S310" s="13">
        <f t="shared" si="73"/>
        <v>0.7626441063011351</v>
      </c>
      <c r="T310" s="13">
        <f t="shared" si="74"/>
        <v>0.39776843470836803</v>
      </c>
      <c r="U310" s="13">
        <f t="shared" si="75"/>
        <v>0.38898748768663527</v>
      </c>
      <c r="W310" s="387">
        <f>1*(M310-Val!$D$28)*PI()/4*Val!$D$2^2*(SIN(D310)+Val!$D$18/2*SIN(2*D310)/(1-Val!$D$18^2*SIN(D310)^2)^0.5)*Val!$D$4*(D310-D309)+1*(M310-Val!$D$28)*PI()/4*Val!$D$3^2*(SIN(E310)+Val!$D$19/2*SIN(2*E310)/(1-Val!$D$19^2*SIN(E310)^2)^0.5)*Val!$D$5*(E310-E309)</f>
        <v>0.4301957754954048</v>
      </c>
    </row>
    <row r="311" spans="2:23" ht="13.5">
      <c r="B311" s="32">
        <v>306</v>
      </c>
      <c r="C311" s="32">
        <f>B311-Data!$D$10</f>
        <v>216</v>
      </c>
      <c r="D311" s="30">
        <f t="shared" si="84"/>
        <v>5.340707511102648</v>
      </c>
      <c r="E311" s="30">
        <f t="shared" si="85"/>
        <v>3.7699111843077517</v>
      </c>
      <c r="F311" s="26">
        <f>Val!$D$11*(1-COS(D311))+Val!$D$12*(1-COS(E311))</f>
        <v>0.0011106157267278245</v>
      </c>
      <c r="G311" s="26">
        <f>Val!$D$11*((1-COS(Calc!D311))+1/Val!$D$18*(1-(1-(Val!$D$18*SIN(Calc!D311))^2)^0.5))+Val!$D$12*((1-COS(Calc!E311))+1/Val!$D$19*(1-(1-(Val!$D$19*SIN(Calc!E311))^2)^0.5))</f>
        <v>0.0011651619245076142</v>
      </c>
      <c r="H311" s="26">
        <f t="shared" si="86"/>
        <v>-5.454619777978966E-05</v>
      </c>
      <c r="I311" s="22">
        <f>Val!$D$11*(1-COS(D311))+Val!$D$14+Val!$D$13+Val!$D$12*((1-COS(Calc!E311)))+Val!$D$15</f>
        <v>0.0018106157267278246</v>
      </c>
      <c r="J311" s="22">
        <f>Val!$D$11*((1-COS(Calc!$D311))+1/Val!$D$18*(1-(1-(Val!$D$18*SIN(Calc!$D311))^2)^0.5))+Val!$D$14+Val!$D$13+Val!$D$12*((1-COS(Calc!$E311))+1/Val!$D$19*(1-(1-(Val!$D$19*SIN(Calc!$E311))^2)^0.5))+Val!$D$15</f>
        <v>0.001865161924507614</v>
      </c>
      <c r="K311" s="44">
        <f t="shared" si="87"/>
        <v>-5.454619777978944E-05</v>
      </c>
      <c r="L311" s="50">
        <f>Val!$D$42*Val!$D$22/Val!$D$37/(1-Val!$D$39*COS(D311-Val!$D$40))</f>
        <v>67790.37360210046</v>
      </c>
      <c r="M311" s="50">
        <f>Val!$D$42*Val!$D$22/(Val!$D$11*((1-COS(Calc!D311))+1/Val!$D$18*(1-(1-(Val!$D$18*SIN(Calc!D311))^2)^0.5))/Val!$D$25+Val!$D$14/Val!$D$25+Val!$D$13/Val!$D$27+Val!$D$12*((1-COS(Calc!E311))+1/Val!$D$19*(1-(1-(Val!$D$19*SIN(Calc!E311))^2)^0.5))/Val!$D$26+Val!$D$15/Val!$D$26)</f>
        <v>66257.5436809016</v>
      </c>
      <c r="N311" s="16">
        <f t="shared" si="76"/>
        <v>-0.8297759563202742</v>
      </c>
      <c r="O311" s="16">
        <f t="shared" si="77"/>
        <v>-0.8112133138357637</v>
      </c>
      <c r="P311" s="16">
        <f t="shared" si="78"/>
        <v>1.2205626007615695E-05</v>
      </c>
      <c r="Q311" s="16">
        <f t="shared" si="79"/>
        <v>1.2212063730583471E-05</v>
      </c>
      <c r="R311" s="13">
        <f t="shared" si="72"/>
        <v>0.7355378986328963</v>
      </c>
      <c r="S311" s="13">
        <f t="shared" si="73"/>
        <v>0.7576965461587672</v>
      </c>
      <c r="T311" s="13">
        <f t="shared" si="74"/>
        <v>0.3999898473976091</v>
      </c>
      <c r="U311" s="13">
        <f t="shared" si="75"/>
        <v>0.39094554842581786</v>
      </c>
      <c r="W311" s="387">
        <f>1*(M311-Val!$D$28)*PI()/4*Val!$D$2^2*(SIN(D311)+Val!$D$18/2*SIN(2*D311)/(1-Val!$D$18^2*SIN(D311)^2)^0.5)*Val!$D$4*(D311-D310)+1*(M311-Val!$D$28)*PI()/4*Val!$D$3^2*(SIN(E311)+Val!$D$19/2*SIN(2*E311)/(1-Val!$D$19^2*SIN(E311)^2)^0.5)*Val!$D$5*(E311-E310)</f>
        <v>0.4273836076343979</v>
      </c>
    </row>
    <row r="312" spans="2:23" ht="13.5">
      <c r="B312" s="32">
        <v>307</v>
      </c>
      <c r="C312" s="32">
        <f>B312-Data!$D$10</f>
        <v>217</v>
      </c>
      <c r="D312" s="30">
        <f t="shared" si="84"/>
        <v>5.358160803622591</v>
      </c>
      <c r="E312" s="30">
        <f t="shared" si="85"/>
        <v>3.7873644768276953</v>
      </c>
      <c r="F312" s="26">
        <f>Val!$D$11*(1-COS(D312))+Val!$D$12*(1-COS(E312))</f>
        <v>0.0010984101007202088</v>
      </c>
      <c r="G312" s="26">
        <f>Val!$D$11*((1-COS(Calc!D312))+1/Val!$D$18*(1-(1-(Val!$D$18*SIN(Calc!D312))^2)^0.5))+Val!$D$12*((1-COS(Calc!E312))+1/Val!$D$19*(1-(1-(Val!$D$19*SIN(Calc!E312))^2)^0.5))</f>
        <v>0.0011529498607770307</v>
      </c>
      <c r="H312" s="26">
        <f t="shared" si="86"/>
        <v>-5.4539760056821884E-05</v>
      </c>
      <c r="I312" s="22">
        <f>Val!$D$11*(1-COS(D312))+Val!$D$14+Val!$D$13+Val!$D$12*((1-COS(Calc!E312)))+Val!$D$15</f>
        <v>0.0017984101007202087</v>
      </c>
      <c r="J312" s="22">
        <f>Val!$D$11*((1-COS(Calc!$D312))+1/Val!$D$18*(1-(1-(Val!$D$18*SIN(Calc!$D312))^2)^0.5))+Val!$D$14+Val!$D$13+Val!$D$12*((1-COS(Calc!$E312))+1/Val!$D$19*(1-(1-(Val!$D$19*SIN(Calc!$E312))^2)^0.5))+Val!$D$15</f>
        <v>0.0018529498607770306</v>
      </c>
      <c r="K312" s="44">
        <f t="shared" si="87"/>
        <v>-5.4539760056821884E-05</v>
      </c>
      <c r="L312" s="50">
        <f>Val!$D$42*Val!$D$22/Val!$D$37/(1-Val!$D$39*COS(D312-Val!$D$40))</f>
        <v>68175.77115811441</v>
      </c>
      <c r="M312" s="50">
        <f>Val!$D$42*Val!$D$22/(Val!$D$11*((1-COS(Calc!D312))+1/Val!$D$18*(1-(1-(Val!$D$18*SIN(Calc!D312))^2)^0.5))/Val!$D$25+Val!$D$14/Val!$D$25+Val!$D$13/Val!$D$27+Val!$D$12*((1-COS(Calc!E312))+1/Val!$D$19*(1-(1-(Val!$D$19*SIN(Calc!E312))^2)^0.5))/Val!$D$26+Val!$D$15/Val!$D$26)</f>
        <v>66596.87498777748</v>
      </c>
      <c r="N312" s="16">
        <f t="shared" si="76"/>
        <v>-0.8365846517766423</v>
      </c>
      <c r="O312" s="16">
        <f t="shared" si="77"/>
        <v>-0.8173595738887564</v>
      </c>
      <c r="P312" s="16">
        <f t="shared" si="78"/>
        <v>1.2235602717196445E-05</v>
      </c>
      <c r="Q312" s="16">
        <f t="shared" si="79"/>
        <v>1.2241358941816882E-05</v>
      </c>
      <c r="R312" s="13">
        <f t="shared" si="72"/>
        <v>0.7305795298456299</v>
      </c>
      <c r="S312" s="13">
        <f t="shared" si="73"/>
        <v>0.7527355621345108</v>
      </c>
      <c r="T312" s="13">
        <f t="shared" si="74"/>
        <v>0.40226384444802005</v>
      </c>
      <c r="U312" s="13">
        <f t="shared" si="75"/>
        <v>0.3929477365012397</v>
      </c>
      <c r="W312" s="387">
        <f>1*(M312-Val!$D$28)*PI()/4*Val!$D$2^2*(SIN(D312)+Val!$D$18/2*SIN(2*D312)/(1-Val!$D$18^2*SIN(D312)^2)^0.5)*Val!$D$4*(D312-D311)+1*(M312-Val!$D$28)*PI()/4*Val!$D$3^2*(SIN(E312)+Val!$D$19/2*SIN(2*E312)/(1-Val!$D$19^2*SIN(E312)^2)^0.5)*Val!$D$5*(E312-E311)</f>
        <v>0.4243267956898694</v>
      </c>
    </row>
    <row r="313" spans="2:23" ht="13.5">
      <c r="B313" s="32">
        <v>308</v>
      </c>
      <c r="C313" s="32">
        <f>B313-Data!$D$10</f>
        <v>218</v>
      </c>
      <c r="D313" s="30">
        <f t="shared" si="84"/>
        <v>5.375614096142535</v>
      </c>
      <c r="E313" s="30">
        <f t="shared" si="85"/>
        <v>3.8048177693476384</v>
      </c>
      <c r="F313" s="26">
        <f>Val!$D$11*(1-COS(D313))+Val!$D$12*(1-COS(E313))</f>
        <v>0.0010861744980030124</v>
      </c>
      <c r="G313" s="26">
        <f>Val!$D$11*((1-COS(Calc!D313))+1/Val!$D$18*(1-(1-(Val!$D$18*SIN(Calc!D313))^2)^0.5))+Val!$D$12*((1-COS(Calc!E313))+1/Val!$D$19*(1-(1-(Val!$D$19*SIN(Calc!E313))^2)^0.5))</f>
        <v>0.0011407085018352138</v>
      </c>
      <c r="H313" s="26">
        <f t="shared" si="86"/>
        <v>-5.4534003832201446E-05</v>
      </c>
      <c r="I313" s="22">
        <f>Val!$D$11*(1-COS(D313))+Val!$D$14+Val!$D$13+Val!$D$12*((1-COS(Calc!E313)))+Val!$D$15</f>
        <v>0.0017861744980030125</v>
      </c>
      <c r="J313" s="22">
        <f>Val!$D$11*((1-COS(Calc!$D313))+1/Val!$D$18*(1-(1-(Val!$D$18*SIN(Calc!$D313))^2)^0.5))+Val!$D$14+Val!$D$13+Val!$D$12*((1-COS(Calc!$E313))+1/Val!$D$19*(1-(1-(Val!$D$19*SIN(Calc!$E313))^2)^0.5))+Val!$D$15</f>
        <v>0.001840708501835214</v>
      </c>
      <c r="K313" s="44">
        <f t="shared" si="87"/>
        <v>-5.4534003832201446E-05</v>
      </c>
      <c r="L313" s="50">
        <f>Val!$D$42*Val!$D$22/Val!$D$37/(1-Val!$D$39*COS(D313-Val!$D$40))</f>
        <v>68570.19405713158</v>
      </c>
      <c r="M313" s="50">
        <f>Val!$D$42*Val!$D$22/(Val!$D$11*((1-COS(Calc!D313))+1/Val!$D$18*(1-(1-(Val!$D$18*SIN(Calc!D313))^2)^0.5))/Val!$D$25+Val!$D$14/Val!$D$25+Val!$D$13/Val!$D$27+Val!$D$12*((1-COS(Calc!E313))+1/Val!$D$19*(1-(1-(Val!$D$19*SIN(Calc!E313))^2)^0.5))/Val!$D$26+Val!$D$15/Val!$D$26)</f>
        <v>66943.78463566412</v>
      </c>
      <c r="N313" s="16">
        <f t="shared" si="76"/>
        <v>-0.8432718140185658</v>
      </c>
      <c r="O313" s="16">
        <f t="shared" si="77"/>
        <v>-0.8233675070997688</v>
      </c>
      <c r="P313" s="16">
        <f t="shared" si="78"/>
        <v>1.22618523436598E-05</v>
      </c>
      <c r="Q313" s="16">
        <f t="shared" si="79"/>
        <v>1.2266899039336393E-05</v>
      </c>
      <c r="R313" s="13">
        <f t="shared" si="72"/>
        <v>0.7256089834296999</v>
      </c>
      <c r="S313" s="13">
        <f t="shared" si="73"/>
        <v>0.7477626773309821</v>
      </c>
      <c r="T313" s="13">
        <f t="shared" si="74"/>
        <v>0.40459109456931325</v>
      </c>
      <c r="U313" s="13">
        <f t="shared" si="75"/>
        <v>0.3949946397670839</v>
      </c>
      <c r="W313" s="387">
        <f>1*(M313-Val!$D$28)*PI()/4*Val!$D$2^2*(SIN(D313)+Val!$D$18/2*SIN(2*D313)/(1-Val!$D$18^2*SIN(D313)^2)^0.5)*Val!$D$4*(D313-D312)+1*(M313-Val!$D$28)*PI()/4*Val!$D$3^2*(SIN(E313)+Val!$D$19/2*SIN(2*E313)/(1-Val!$D$19^2*SIN(E313)^2)^0.5)*Val!$D$5*(E313-E312)</f>
        <v>0.42102701106579715</v>
      </c>
    </row>
    <row r="314" spans="2:23" ht="13.5">
      <c r="B314" s="32">
        <v>309</v>
      </c>
      <c r="C314" s="32">
        <f>B314-Data!$D$10</f>
        <v>219</v>
      </c>
      <c r="D314" s="30">
        <f t="shared" si="84"/>
        <v>5.3930673886624785</v>
      </c>
      <c r="E314" s="30">
        <f t="shared" si="85"/>
        <v>3.822271061867582</v>
      </c>
      <c r="F314" s="26">
        <f>Val!$D$11*(1-COS(D314))+Val!$D$12*(1-COS(E314))</f>
        <v>0.0010739126456593526</v>
      </c>
      <c r="G314" s="26">
        <f>Val!$D$11*((1-COS(Calc!D314))+1/Val!$D$18*(1-(1-(Val!$D$18*SIN(Calc!D314))^2)^0.5))+Val!$D$12*((1-COS(Calc!E314))+1/Val!$D$19*(1-(1-(Val!$D$19*SIN(Calc!E314))^2)^0.5))</f>
        <v>0.0011284416027958774</v>
      </c>
      <c r="H314" s="26">
        <f t="shared" si="86"/>
        <v>-5.452895713652485E-05</v>
      </c>
      <c r="I314" s="22">
        <f>Val!$D$11*(1-COS(D314))+Val!$D$14+Val!$D$13+Val!$D$12*((1-COS(Calc!E314)))+Val!$D$15</f>
        <v>0.0017739126456593525</v>
      </c>
      <c r="J314" s="22">
        <f>Val!$D$11*((1-COS(Calc!$D314))+1/Val!$D$18*(1-(1-(Val!$D$18*SIN(Calc!$D314))^2)^0.5))+Val!$D$14+Val!$D$13+Val!$D$12*((1-COS(Calc!$E314))+1/Val!$D$19*(1-(1-(Val!$D$19*SIN(Calc!$E314))^2)^0.5))+Val!$D$15</f>
        <v>0.0018284416027958773</v>
      </c>
      <c r="K314" s="44">
        <f t="shared" si="87"/>
        <v>-5.452895713652485E-05</v>
      </c>
      <c r="L314" s="50">
        <f>Val!$D$42*Val!$D$22/Val!$D$37/(1-Val!$D$39*COS(D314-Val!$D$40))</f>
        <v>68973.75776750103</v>
      </c>
      <c r="M314" s="50">
        <f>Val!$D$42*Val!$D$22/(Val!$D$11*((1-COS(Calc!D314))+1/Val!$D$18*(1-(1-(Val!$D$18*SIN(Calc!D314))^2)^0.5))/Val!$D$25+Val!$D$14/Val!$D$25+Val!$D$13/Val!$D$27+Val!$D$12*((1-COS(Calc!E314))+1/Val!$D$19*(1-(1-(Val!$D$19*SIN(Calc!E314))^2)^0.5))/Val!$D$26+Val!$D$15/Val!$D$26)</f>
        <v>67298.37460269808</v>
      </c>
      <c r="N314" s="16">
        <f t="shared" si="76"/>
        <v>-0.8498345753451264</v>
      </c>
      <c r="O314" s="16">
        <f t="shared" si="77"/>
        <v>-0.8292347079709499</v>
      </c>
      <c r="P314" s="16">
        <f t="shared" si="78"/>
        <v>1.2284366891116873E-05</v>
      </c>
      <c r="Q314" s="16">
        <f t="shared" si="79"/>
        <v>1.2288679482822928E-05</v>
      </c>
      <c r="R314" s="13">
        <f t="shared" si="72"/>
        <v>0.7206277734616953</v>
      </c>
      <c r="S314" s="13">
        <f t="shared" si="73"/>
        <v>0.7427794172118172</v>
      </c>
      <c r="T314" s="13">
        <f t="shared" si="74"/>
        <v>0.40697227907012984</v>
      </c>
      <c r="U314" s="13">
        <f t="shared" si="75"/>
        <v>0.3970868599344358</v>
      </c>
      <c r="W314" s="387">
        <f>1*(M314-Val!$D$28)*PI()/4*Val!$D$2^2*(SIN(D314)+Val!$D$18/2*SIN(2*D314)/(1-Val!$D$18^2*SIN(D314)^2)^0.5)*Val!$D$4*(D314-D313)+1*(M314-Val!$D$28)*PI()/4*Val!$D$3^2*(SIN(E314)+Val!$D$19/2*SIN(2*E314)/(1-Val!$D$19^2*SIN(E314)^2)^0.5)*Val!$D$5*(E314-E313)</f>
        <v>0.4174861076059368</v>
      </c>
    </row>
    <row r="315" spans="2:23" ht="13.5">
      <c r="B315" s="32">
        <v>310</v>
      </c>
      <c r="C315" s="32">
        <f>B315-Data!$D$10</f>
        <v>220</v>
      </c>
      <c r="D315" s="30">
        <f t="shared" si="84"/>
        <v>5.410520681182422</v>
      </c>
      <c r="E315" s="30">
        <f t="shared" si="85"/>
        <v>3.839724354387525</v>
      </c>
      <c r="F315" s="26">
        <f>Val!$D$11*(1-COS(D315))+Val!$D$12*(1-COS(E315))</f>
        <v>0.0010616282787682357</v>
      </c>
      <c r="G315" s="26">
        <f>Val!$D$11*((1-COS(Calc!D315))+1/Val!$D$18*(1-(1-(Val!$D$18*SIN(Calc!D315))^2)^0.5))+Val!$D$12*((1-COS(Calc!E315))+1/Val!$D$19*(1-(1-(Val!$D$19*SIN(Calc!E315))^2)^0.5))</f>
        <v>0.0011161529233130545</v>
      </c>
      <c r="H315" s="26">
        <f t="shared" si="86"/>
        <v>-5.45246445448188E-05</v>
      </c>
      <c r="I315" s="22">
        <f>Val!$D$11*(1-COS(D315))+Val!$D$14+Val!$D$13+Val!$D$12*((1-COS(Calc!E315)))+Val!$D$15</f>
        <v>0.0017616282787682358</v>
      </c>
      <c r="J315" s="22">
        <f>Val!$D$11*((1-COS(Calc!$D315))+1/Val!$D$18*(1-(1-(Val!$D$18*SIN(Calc!$D315))^2)^0.5))+Val!$D$14+Val!$D$13+Val!$D$12*((1-COS(Calc!$E315))+1/Val!$D$19*(1-(1-(Val!$D$19*SIN(Calc!$E315))^2)^0.5))+Val!$D$15</f>
        <v>0.0018161529233130544</v>
      </c>
      <c r="K315" s="44">
        <f t="shared" si="87"/>
        <v>-5.452464454481858E-05</v>
      </c>
      <c r="L315" s="50">
        <f>Val!$D$42*Val!$D$22/Val!$D$37/(1-Val!$D$39*COS(D315-Val!$D$40))</f>
        <v>69386.57986775432</v>
      </c>
      <c r="M315" s="50">
        <f>Val!$D$42*Val!$D$22/(Val!$D$11*((1-COS(Calc!D315))+1/Val!$D$18*(1-(1-(Val!$D$18*SIN(Calc!D315))^2)^0.5))/Val!$D$25+Val!$D$14/Val!$D$25+Val!$D$13/Val!$D$27+Val!$D$12*((1-COS(Calc!E315))+1/Val!$D$19*(1-(1-(Val!$D$19*SIN(Calc!E315))^2)^0.5))/Val!$D$26+Val!$D$15/Val!$D$26)</f>
        <v>67660.74922017504</v>
      </c>
      <c r="N315" s="16">
        <f t="shared" si="76"/>
        <v>-0.8562699653090147</v>
      </c>
      <c r="O315" s="16">
        <f t="shared" si="77"/>
        <v>-0.8349587141686284</v>
      </c>
      <c r="P315" s="16">
        <f t="shared" si="78"/>
        <v>1.2303139501416678E-05</v>
      </c>
      <c r="Q315" s="16">
        <f t="shared" si="79"/>
        <v>1.2306696989188492E-05</v>
      </c>
      <c r="R315" s="13">
        <f t="shared" si="72"/>
        <v>0.7156374172664264</v>
      </c>
      <c r="S315" s="13">
        <f t="shared" si="73"/>
        <v>0.737787309085095</v>
      </c>
      <c r="T315" s="13">
        <f t="shared" si="74"/>
        <v>0.40940809171001713</v>
      </c>
      <c r="U315" s="13">
        <f t="shared" si="75"/>
        <v>0.3992250125989446</v>
      </c>
      <c r="W315" s="387">
        <f>1*(M315-Val!$D$28)*PI()/4*Val!$D$2^2*(SIN(D315)+Val!$D$18/2*SIN(2*D315)/(1-Val!$D$18^2*SIN(D315)^2)^0.5)*Val!$D$4*(D315-D314)+1*(M315-Val!$D$28)*PI()/4*Val!$D$3^2*(SIN(E315)+Val!$D$19/2*SIN(2*E315)/(1-Val!$D$19^2*SIN(E315)^2)^0.5)*Val!$D$5*(E315-E314)</f>
        <v>0.4137061227529774</v>
      </c>
    </row>
    <row r="316" spans="2:23" ht="13.5">
      <c r="B316" s="32">
        <v>311</v>
      </c>
      <c r="C316" s="32">
        <f>B316-Data!$D$10</f>
        <v>221</v>
      </c>
      <c r="D316" s="30">
        <f t="shared" si="84"/>
        <v>5.427973973702365</v>
      </c>
      <c r="E316" s="30">
        <f t="shared" si="85"/>
        <v>3.857177646907468</v>
      </c>
      <c r="F316" s="26">
        <f>Val!$D$11*(1-COS(D316))+Val!$D$12*(1-COS(E316))</f>
        <v>0.001049325139266819</v>
      </c>
      <c r="G316" s="26">
        <f>Val!$D$11*((1-COS(Calc!D316))+1/Val!$D$18*(1-(1-(Val!$D$18*SIN(Calc!D316))^2)^0.5))+Val!$D$12*((1-COS(Calc!E316))+1/Val!$D$19*(1-(1-(Val!$D$19*SIN(Calc!E316))^2)^0.5))</f>
        <v>0.001103846226323866</v>
      </c>
      <c r="H316" s="26">
        <f t="shared" si="86"/>
        <v>-5.4521087057046985E-05</v>
      </c>
      <c r="I316" s="22">
        <f>Val!$D$11*(1-COS(D316))+Val!$D$14+Val!$D$13+Val!$D$12*((1-COS(Calc!E316)))+Val!$D$15</f>
        <v>0.0017493251392668191</v>
      </c>
      <c r="J316" s="22">
        <f>Val!$D$11*((1-COS(Calc!$D316))+1/Val!$D$18*(1-(1-(Val!$D$18*SIN(Calc!$D316))^2)^0.5))+Val!$D$14+Val!$D$13+Val!$D$12*((1-COS(Calc!$E316))+1/Val!$D$19*(1-(1-(Val!$D$19*SIN(Calc!$E316))^2)^0.5))+Val!$D$15</f>
        <v>0.0018038462263238661</v>
      </c>
      <c r="K316" s="44">
        <f t="shared" si="87"/>
        <v>-5.4521087057046985E-05</v>
      </c>
      <c r="L316" s="50">
        <f>Val!$D$42*Val!$D$22/Val!$D$37/(1-Val!$D$39*COS(D316-Val!$D$40))</f>
        <v>69808.78001748753</v>
      </c>
      <c r="M316" s="50">
        <f>Val!$D$42*Val!$D$22/(Val!$D$11*((1-COS(Calc!D316))+1/Val!$D$18*(1-(1-(Val!$D$18*SIN(Calc!D316))^2)^0.5))/Val!$D$25+Val!$D$14/Val!$D$25+Val!$D$13/Val!$D$27+Val!$D$12*((1-COS(Calc!E316))+1/Val!$D$19*(1-(1-(Val!$D$19*SIN(Calc!E316))^2)^0.5))/Val!$D$26+Val!$D$15/Val!$D$26)</f>
        <v>68031.01517479777</v>
      </c>
      <c r="N316" s="16">
        <f t="shared" si="76"/>
        <v>-0.8625749079665052</v>
      </c>
      <c r="O316" s="16">
        <f t="shared" si="77"/>
        <v>-0.8405370037773308</v>
      </c>
      <c r="P316" s="16">
        <f t="shared" si="78"/>
        <v>1.2318164456241905E-05</v>
      </c>
      <c r="Q316" s="16">
        <f t="shared" si="79"/>
        <v>1.2320949517282201E-05</v>
      </c>
      <c r="R316" s="13">
        <f t="shared" si="72"/>
        <v>0.7106394349547331</v>
      </c>
      <c r="S316" s="13">
        <f t="shared" si="73"/>
        <v>0.7327878815926042</v>
      </c>
      <c r="T316" s="13">
        <f t="shared" si="74"/>
        <v>0.4118992385276208</v>
      </c>
      <c r="U316" s="13">
        <f t="shared" si="75"/>
        <v>0.4014097272540868</v>
      </c>
      <c r="W316" s="387">
        <f>1*(M316-Val!$D$28)*PI()/4*Val!$D$2^2*(SIN(D316)+Val!$D$18/2*SIN(2*D316)/(1-Val!$D$18^2*SIN(D316)^2)^0.5)*Val!$D$4*(D316-D315)+1*(M316-Val!$D$28)*PI()/4*Val!$D$3^2*(SIN(E316)+Val!$D$19/2*SIN(2*E316)/(1-Val!$D$19^2*SIN(E316)^2)^0.5)*Val!$D$5*(E316-E315)</f>
        <v>0.40968927873028005</v>
      </c>
    </row>
    <row r="317" spans="2:23" ht="13.5">
      <c r="B317" s="32">
        <v>312</v>
      </c>
      <c r="C317" s="32">
        <f>B317-Data!$D$10</f>
        <v>222</v>
      </c>
      <c r="D317" s="30">
        <f t="shared" si="84"/>
        <v>5.445427266222308</v>
      </c>
      <c r="E317" s="30">
        <f t="shared" si="85"/>
        <v>3.8746309394274117</v>
      </c>
      <c r="F317" s="26">
        <f>Val!$D$11*(1-COS(D317))+Val!$D$12*(1-COS(E317))</f>
        <v>0.0010370069748105771</v>
      </c>
      <c r="G317" s="26">
        <f>Val!$D$11*((1-COS(Calc!D317))+1/Val!$D$18*(1-(1-(Val!$D$18*SIN(Calc!D317))^2)^0.5))+Val!$D$12*((1-COS(Calc!E317))+1/Val!$D$19*(1-(1-(Val!$D$19*SIN(Calc!E317))^2)^0.5))</f>
        <v>0.0010915252768065838</v>
      </c>
      <c r="H317" s="26">
        <f t="shared" si="86"/>
        <v>-5.451830199600669E-05</v>
      </c>
      <c r="I317" s="22">
        <f>Val!$D$11*(1-COS(D317))+Val!$D$14+Val!$D$13+Val!$D$12*((1-COS(Calc!E317)))+Val!$D$15</f>
        <v>0.001737006974810577</v>
      </c>
      <c r="J317" s="22">
        <f>Val!$D$11*((1-COS(Calc!$D317))+1/Val!$D$18*(1-(1-(Val!$D$18*SIN(Calc!$D317))^2)^0.5))+Val!$D$14+Val!$D$13+Val!$D$12*((1-COS(Calc!$E317))+1/Val!$D$19*(1-(1-(Val!$D$19*SIN(Calc!$E317))^2)^0.5))+Val!$D$15</f>
        <v>0.001791525276806584</v>
      </c>
      <c r="K317" s="44">
        <f t="shared" si="87"/>
        <v>-5.4518301996006905E-05</v>
      </c>
      <c r="L317" s="50">
        <f>Val!$D$42*Val!$D$22/Val!$D$37/(1-Val!$D$39*COS(D317-Val!$D$40))</f>
        <v>70240.47992389975</v>
      </c>
      <c r="M317" s="50">
        <f>Val!$D$42*Val!$D$22/(Val!$D$11*((1-COS(Calc!D317))+1/Val!$D$18*(1-(1-(Val!$D$18*SIN(Calc!D317))^2)^0.5))/Val!$D$25+Val!$D$14/Val!$D$25+Val!$D$13/Val!$D$27+Val!$D$12*((1-COS(Calc!E317))+1/Val!$D$19*(1-(1-(Val!$D$19*SIN(Calc!E317))^2)^0.5))/Val!$D$26+Val!$D$15/Val!$D$26)</f>
        <v>68409.2815082357</v>
      </c>
      <c r="N317" s="16">
        <f t="shared" si="76"/>
        <v>-0.8687462190767847</v>
      </c>
      <c r="O317" s="16">
        <f t="shared" si="77"/>
        <v>-0.8459669924350046</v>
      </c>
      <c r="P317" s="16">
        <f t="shared" si="78"/>
        <v>1.2329437178845151E-05</v>
      </c>
      <c r="Q317" s="16">
        <f t="shared" si="79"/>
        <v>1.2331436251744989E-05</v>
      </c>
      <c r="R317" s="13">
        <f t="shared" si="72"/>
        <v>0.7056353489604438</v>
      </c>
      <c r="S317" s="13">
        <f t="shared" si="73"/>
        <v>0.7277826642053226</v>
      </c>
      <c r="T317" s="13">
        <f t="shared" si="74"/>
        <v>0.4144464376432491</v>
      </c>
      <c r="U317" s="13">
        <f t="shared" si="75"/>
        <v>0.40364164728856794</v>
      </c>
      <c r="W317" s="387">
        <f>1*(M317-Val!$D$28)*PI()/4*Val!$D$2^2*(SIN(D317)+Val!$D$18/2*SIN(2*D317)/(1-Val!$D$18^2*SIN(D317)^2)^0.5)*Val!$D$4*(D317-D316)+1*(M317-Val!$D$28)*PI()/4*Val!$D$3^2*(SIN(E317)+Val!$D$19/2*SIN(2*E317)/(1-Val!$D$19^2*SIN(E317)^2)^0.5)*Val!$D$5*(E317-E316)</f>
        <v>0.4054379837533409</v>
      </c>
    </row>
    <row r="318" spans="2:23" ht="13.5">
      <c r="B318" s="32">
        <v>313</v>
      </c>
      <c r="C318" s="32">
        <f>B318-Data!$D$10</f>
        <v>223</v>
      </c>
      <c r="D318" s="30">
        <f t="shared" si="84"/>
        <v>5.462880558742252</v>
      </c>
      <c r="E318" s="30">
        <f t="shared" si="85"/>
        <v>3.8920842319473548</v>
      </c>
      <c r="F318" s="26">
        <f>Val!$D$11*(1-COS(D318))+Val!$D$12*(1-COS(E318))</f>
        <v>0.001024677537631732</v>
      </c>
      <c r="G318" s="26">
        <f>Val!$D$11*((1-COS(Calc!D318))+1/Val!$D$18*(1-(1-(Val!$D$18*SIN(Calc!D318))^2)^0.5))+Val!$D$12*((1-COS(Calc!E318))+1/Val!$D$19*(1-(1-(Val!$D$19*SIN(Calc!E318))^2)^0.5))</f>
        <v>0.0010791938405548388</v>
      </c>
      <c r="H318" s="26">
        <f t="shared" si="86"/>
        <v>-5.451630292310685E-05</v>
      </c>
      <c r="I318" s="22">
        <f>Val!$D$11*(1-COS(D318))+Val!$D$14+Val!$D$13+Val!$D$12*((1-COS(Calc!E318)))+Val!$D$15</f>
        <v>0.0017246775376317319</v>
      </c>
      <c r="J318" s="22">
        <f>Val!$D$11*((1-COS(Calc!$D318))+1/Val!$D$18*(1-(1-(Val!$D$18*SIN(Calc!$D318))^2)^0.5))+Val!$D$14+Val!$D$13+Val!$D$12*((1-COS(Calc!$E318))+1/Val!$D$19*(1-(1-(Val!$D$19*SIN(Calc!$E318))^2)^0.5))+Val!$D$15</f>
        <v>0.0017791938405548387</v>
      </c>
      <c r="K318" s="44">
        <f t="shared" si="87"/>
        <v>-5.451630292310685E-05</v>
      </c>
      <c r="L318" s="50">
        <f>Val!$D$42*Val!$D$22/Val!$D$37/(1-Val!$D$39*COS(D318-Val!$D$40))</f>
        <v>70681.80330365576</v>
      </c>
      <c r="M318" s="50">
        <f>Val!$D$42*Val!$D$22/(Val!$D$11*((1-COS(Calc!D318))+1/Val!$D$18*(1-(1-(Val!$D$18*SIN(Calc!D318))^2)^0.5))/Val!$D$25+Val!$D$14/Val!$D$25+Val!$D$13/Val!$D$27+Val!$D$12*((1-COS(Calc!E318))+1/Val!$D$19*(1-(1-(Val!$D$19*SIN(Calc!E318))^2)^0.5))/Val!$D$26+Val!$D$15/Val!$D$26)</f>
        <v>68795.65961373283</v>
      </c>
      <c r="N318" s="16">
        <f t="shared" si="76"/>
        <v>-0.874780603253084</v>
      </c>
      <c r="O318" s="16">
        <f t="shared" si="77"/>
        <v>-0.8512460303526642</v>
      </c>
      <c r="P318" s="16">
        <f t="shared" si="78"/>
        <v>1.2336954235445162E-05</v>
      </c>
      <c r="Q318" s="16">
        <f t="shared" si="79"/>
        <v>1.2338157586116874E-05</v>
      </c>
      <c r="R318" s="13">
        <f t="shared" si="72"/>
        <v>0.7006266835766279</v>
      </c>
      <c r="S318" s="13">
        <f t="shared" si="73"/>
        <v>0.7227731867254567</v>
      </c>
      <c r="T318" s="13">
        <f t="shared" si="74"/>
        <v>0.4170504190338478</v>
      </c>
      <c r="U318" s="13">
        <f t="shared" si="75"/>
        <v>0.4059214299663077</v>
      </c>
      <c r="W318" s="387">
        <f>1*(M318-Val!$D$28)*PI()/4*Val!$D$2^2*(SIN(D318)+Val!$D$18/2*SIN(2*D318)/(1-Val!$D$18^2*SIN(D318)^2)^0.5)*Val!$D$4*(D318-D317)+1*(M318-Val!$D$28)*PI()/4*Val!$D$3^2*(SIN(E318)+Val!$D$19/2*SIN(2*E318)/(1-Val!$D$19^2*SIN(E318)^2)^0.5)*Val!$D$5*(E318-E317)</f>
        <v>0.4009548332776012</v>
      </c>
    </row>
    <row r="319" spans="2:23" ht="13.5">
      <c r="B319" s="32">
        <v>314</v>
      </c>
      <c r="C319" s="32">
        <f>B319-Data!$D$10</f>
        <v>224</v>
      </c>
      <c r="D319" s="30">
        <f t="shared" si="84"/>
        <v>5.480333851262195</v>
      </c>
      <c r="E319" s="30">
        <f t="shared" si="85"/>
        <v>3.9095375244672983</v>
      </c>
      <c r="F319" s="26">
        <f>Val!$D$11*(1-COS(D319))+Val!$D$12*(1-COS(E319))</f>
        <v>0.0010123405833962868</v>
      </c>
      <c r="G319" s="26">
        <f>Val!$D$11*((1-COS(Calc!D319))+1/Val!$D$18*(1-(1-(Val!$D$18*SIN(Calc!D319))^2)^0.5))+Val!$D$12*((1-COS(Calc!E319))+1/Val!$D$19*(1-(1-(Val!$D$19*SIN(Calc!E319))^2)^0.5))</f>
        <v>0.001066855682968722</v>
      </c>
      <c r="H319" s="26">
        <f t="shared" si="86"/>
        <v>-5.451509957243514E-05</v>
      </c>
      <c r="I319" s="22">
        <f>Val!$D$11*(1-COS(D319))+Val!$D$14+Val!$D$13+Val!$D$12*((1-COS(Calc!E319)))+Val!$D$15</f>
        <v>0.001712340583396287</v>
      </c>
      <c r="J319" s="22">
        <f>Val!$D$11*((1-COS(Calc!$D319))+1/Val!$D$18*(1-(1-(Val!$D$18*SIN(Calc!$D319))^2)^0.5))+Val!$D$14+Val!$D$13+Val!$D$12*((1-COS(Calc!$E319))+1/Val!$D$19*(1-(1-(Val!$D$19*SIN(Calc!$E319))^2)^0.5))+Val!$D$15</f>
        <v>0.001766855682968722</v>
      </c>
      <c r="K319" s="44">
        <f t="shared" si="87"/>
        <v>-5.451509957243514E-05</v>
      </c>
      <c r="L319" s="50">
        <f>Val!$D$42*Val!$D$22/Val!$D$37/(1-Val!$D$39*COS(D319-Val!$D$40))</f>
        <v>71132.87583972263</v>
      </c>
      <c r="M319" s="50">
        <f>Val!$D$42*Val!$D$22/(Val!$D$11*((1-COS(Calc!D319))+1/Val!$D$18*(1-(1-(Val!$D$18*SIN(Calc!D319))^2)^0.5))/Val!$D$25+Val!$D$14/Val!$D$25+Val!$D$13/Val!$D$27+Val!$D$12*((1-COS(Calc!E319))+1/Val!$D$19*(1-(1-(Val!$D$19*SIN(Calc!E319))^2)^0.5))/Val!$D$26+Val!$D$15/Val!$D$26)</f>
        <v>69190.26322948278</v>
      </c>
      <c r="N319" s="16">
        <f t="shared" si="76"/>
        <v>-0.880674651067105</v>
      </c>
      <c r="O319" s="16">
        <f t="shared" si="77"/>
        <v>-0.8563713992200161</v>
      </c>
      <c r="P319" s="16">
        <f t="shared" si="78"/>
        <v>1.2340713336274388E-05</v>
      </c>
      <c r="Q319" s="16">
        <f t="shared" si="79"/>
        <v>1.2341115105271366E-05</v>
      </c>
      <c r="R319" s="13">
        <f t="shared" si="72"/>
        <v>0.695614964491282</v>
      </c>
      <c r="S319" s="13">
        <f t="shared" si="73"/>
        <v>0.717760978795343</v>
      </c>
      <c r="T319" s="13">
        <f t="shared" si="74"/>
        <v>0.4197119242783189</v>
      </c>
      <c r="U319" s="13">
        <f t="shared" si="75"/>
        <v>0.40824974638735007</v>
      </c>
      <c r="W319" s="387">
        <f>1*(M319-Val!$D$28)*PI()/4*Val!$D$2^2*(SIN(D319)+Val!$D$18/2*SIN(2*D319)/(1-Val!$D$18^2*SIN(D319)^2)^0.5)*Val!$D$4*(D319-D318)+1*(M319-Val!$D$28)*PI()/4*Val!$D$3^2*(SIN(E319)+Val!$D$19/2*SIN(2*E319)/(1-Val!$D$19^2*SIN(E319)^2)^0.5)*Val!$D$5*(E319-E318)</f>
        <v>0.3962426112892185</v>
      </c>
    </row>
    <row r="320" spans="2:24" ht="13.5">
      <c r="B320" s="109">
        <v>315</v>
      </c>
      <c r="C320" s="109">
        <f>B320-Data!$D$10</f>
        <v>225</v>
      </c>
      <c r="D320" s="110">
        <f>PI()/180*B320</f>
        <v>5.497787143782138</v>
      </c>
      <c r="E320" s="110">
        <f>PI()/180*C320</f>
        <v>3.9269908169872414</v>
      </c>
      <c r="F320" s="111">
        <f>Val!$D$11*(1-COS(D320))+Val!$D$12*(1-COS(E320))</f>
        <v>0.0009999998700600124</v>
      </c>
      <c r="G320" s="111">
        <f>Val!$D$11*((1-COS(Calc!D320))+1/Val!$D$18*(1-(1-(Val!$D$18*SIN(Calc!D320))^2)^0.5))+Val!$D$12*((1-COS(Calc!E320))+1/Val!$D$19*(1-(1-(Val!$D$19*SIN(Calc!E320))^2)^0.5))</f>
        <v>0.0010545145678634506</v>
      </c>
      <c r="H320" s="111">
        <f>F320-G320</f>
        <v>-5.451469780343816E-05</v>
      </c>
      <c r="I320" s="111">
        <f>Val!$D$11*(1-COS(D320))+Val!$D$14+Val!$D$13+Val!$D$12*((1-COS(Calc!E320)))+Val!$D$15</f>
        <v>0.0016999998700600123</v>
      </c>
      <c r="J320" s="111">
        <f>Val!$D$11*((1-COS(Calc!$D320))+1/Val!$D$18*(1-(1-(Val!$D$18*SIN(Calc!$D320))^2)^0.5))+Val!$D$14+Val!$D$13+Val!$D$12*((1-COS(Calc!$E320))+1/Val!$D$19*(1-(1-(Val!$D$19*SIN(Calc!$E320))^2)^0.5))+Val!$D$15</f>
        <v>0.0017545145678634505</v>
      </c>
      <c r="K320" s="112">
        <f>I320-J320</f>
        <v>-5.451469780343816E-05</v>
      </c>
      <c r="L320" s="228">
        <f>Val!$D$42*Val!$D$22/Val!$D$37/(1-Val!$D$39*COS(D320-Val!$D$40))</f>
        <v>71593.8251328099</v>
      </c>
      <c r="M320" s="228">
        <f>Val!$D$42*Val!$D$22/(Val!$D$11*((1-COS(Calc!D320))+1/Val!$D$18*(1-(1-(Val!$D$18*SIN(Calc!D320))^2)^0.5))/Val!$D$25+Val!$D$14/Val!$D$25+Val!$D$13/Val!$D$27+Val!$D$12*((1-COS(Calc!E320))+1/Val!$D$19*(1-(1-(Val!$D$19*SIN(Calc!E320))^2)^0.5))/Val!$D$26+Val!$D$15/Val!$D$26)</f>
        <v>69593.2084284733</v>
      </c>
      <c r="N320" s="393">
        <f t="shared" si="76"/>
        <v>-0.8864248361088893</v>
      </c>
      <c r="O320" s="393">
        <f t="shared" si="77"/>
        <v>-0.8613403090000353</v>
      </c>
      <c r="P320" s="393">
        <f t="shared" si="78"/>
        <v>1.2340713336274605E-05</v>
      </c>
      <c r="Q320" s="393">
        <f t="shared" si="79"/>
        <v>1.2340311567277627E-05</v>
      </c>
      <c r="R320" s="110">
        <f t="shared" si="72"/>
        <v>0.6906017183225885</v>
      </c>
      <c r="S320" s="110">
        <f t="shared" si="73"/>
        <v>0.7127475694134843</v>
      </c>
      <c r="T320" s="110">
        <f t="shared" si="74"/>
        <v>0.4224317062709984</v>
      </c>
      <c r="U320" s="110">
        <f t="shared" si="75"/>
        <v>0.4106272814279421</v>
      </c>
      <c r="V320" s="274" t="s">
        <v>337</v>
      </c>
      <c r="W320" s="448">
        <f>1*(M320-Val!$D$28)*PI()/4*Val!$D$2^2*(SIN(D320)+Val!$D$18/2*SIN(2*D320)/(1-Val!$D$18^2*SIN(D320)^2)^0.5)*Val!$D$4*(D320-D319)+1*(M320-Val!$D$28)*PI()/4*Val!$D$3^2*(SIN(E320)+Val!$D$19/2*SIN(2*E320)/(1-Val!$D$19^2*SIN(E320)^2)^0.5)*Val!$D$5*(E320-E319)</f>
        <v>0.39130429164524594</v>
      </c>
      <c r="X320" s="449"/>
    </row>
    <row r="321" spans="2:23" ht="13.5">
      <c r="B321" s="32">
        <v>316</v>
      </c>
      <c r="C321" s="32">
        <f>B321-Data!$D$10</f>
        <v>226</v>
      </c>
      <c r="D321" s="30">
        <f>PI()/180*B321</f>
        <v>5.515240436302081</v>
      </c>
      <c r="E321" s="30">
        <f>PI()/180*C321</f>
        <v>3.944444109507185</v>
      </c>
      <c r="F321" s="26">
        <f>Val!$D$11*(1-COS(D321))+Val!$D$12*(1-COS(E321))</f>
        <v>0.0009876591567237378</v>
      </c>
      <c r="G321" s="26">
        <f>Val!$D$11*((1-COS(Calc!D321))+1/Val!$D$18*(1-(1-(Val!$D$18*SIN(Calc!D321))^2)^0.5))+Val!$D$12*((1-COS(Calc!E321))+1/Val!$D$19*(1-(1-(Val!$D$19*SIN(Calc!E321))^2)^0.5))</f>
        <v>0.001042174256296173</v>
      </c>
      <c r="H321" s="26">
        <f>F321-G321</f>
        <v>-5.451509957243514E-05</v>
      </c>
      <c r="I321" s="22">
        <f>Val!$D$11*(1-COS(D321))+Val!$D$14+Val!$D$13+Val!$D$12*((1-COS(Calc!E321)))+Val!$D$15</f>
        <v>0.0016876591567237377</v>
      </c>
      <c r="J321" s="22">
        <f>Val!$D$11*((1-COS(Calc!$D321))+1/Val!$D$18*(1-(1-(Val!$D$18*SIN(Calc!$D321))^2)^0.5))+Val!$D$14+Val!$D$13+Val!$D$12*((1-COS(Calc!$E321))+1/Val!$D$19*(1-(1-(Val!$D$19*SIN(Calc!$E321))^2)^0.5))+Val!$D$15</f>
        <v>0.0017421742562961728</v>
      </c>
      <c r="K321" s="44">
        <f>I321-J321</f>
        <v>-5.451509957243514E-05</v>
      </c>
      <c r="L321" s="50">
        <f>Val!$D$42*Val!$D$22/Val!$D$37/(1-Val!$D$39*COS(D321-Val!$D$40))</f>
        <v>72064.7806470213</v>
      </c>
      <c r="M321" s="50">
        <f>Val!$D$42*Val!$D$22/(Val!$D$11*((1-COS(Calc!D321))+1/Val!$D$18*(1-(1-(Val!$D$18*SIN(Calc!D321))^2)^0.5))/Val!$D$25+Val!$D$14/Val!$D$25+Val!$D$13/Val!$D$27+Val!$D$12*((1-COS(Calc!E321))+1/Val!$D$19*(1-(1-(Val!$D$19*SIN(Calc!E321))^2)^0.5))/Val!$D$26+Val!$D$15/Val!$D$26)</f>
        <v>70004.61360448434</v>
      </c>
      <c r="N321" s="16">
        <f t="shared" si="76"/>
        <v>-0.8920275120057989</v>
      </c>
      <c r="O321" s="16">
        <f t="shared" si="77"/>
        <v>-0.8661498946165244</v>
      </c>
      <c r="P321" s="16">
        <f t="shared" si="78"/>
        <v>1.2336954235445379E-05</v>
      </c>
      <c r="Q321" s="16">
        <f t="shared" si="79"/>
        <v>1.2335750884773667E-05</v>
      </c>
      <c r="R321" s="13">
        <f t="shared" si="72"/>
        <v>0.6855884721538951</v>
      </c>
      <c r="S321" s="13">
        <f t="shared" si="73"/>
        <v>0.707734486457956</v>
      </c>
      <c r="T321" s="13">
        <f t="shared" si="74"/>
        <v>0.4252105289009808</v>
      </c>
      <c r="U321" s="13">
        <f t="shared" si="75"/>
        <v>0.4130547336579169</v>
      </c>
      <c r="W321" s="387">
        <f>1*(M321-Val!$D$28)*PI()/4*Val!$D$2^2*(SIN(D321)+Val!$D$18/2*SIN(2*D321)/(1-Val!$D$18^2*SIN(D321)^2)^0.5)*Val!$D$4*(D321-D320)+1*(M321-Val!$D$28)*PI()/4*Val!$D$3^2*(SIN(E321)+Val!$D$19/2*SIN(2*E321)/(1-Val!$D$19^2*SIN(E321)^2)^0.5)*Val!$D$5*(E321-E320)</f>
        <v>0.386143039469091</v>
      </c>
    </row>
    <row r="322" spans="2:23" ht="13.5">
      <c r="B322" s="32">
        <v>317</v>
      </c>
      <c r="C322" s="32">
        <f>B322-Data!$D$10</f>
        <v>227</v>
      </c>
      <c r="D322" s="30">
        <f aca="true" t="shared" si="88" ref="D322:D357">PI()/180*B322</f>
        <v>5.532693728822025</v>
      </c>
      <c r="E322" s="30">
        <f aca="true" t="shared" si="89" ref="E322:E357">PI()/180*C322</f>
        <v>3.961897402027128</v>
      </c>
      <c r="F322" s="26">
        <f>Val!$D$11*(1-COS(D322))+Val!$D$12*(1-COS(E322))</f>
        <v>0.0009753222024882924</v>
      </c>
      <c r="G322" s="26">
        <f>Val!$D$11*((1-COS(Calc!D322))+1/Val!$D$18*(1-(1-(Val!$D$18*SIN(Calc!D322))^2)^0.5))+Val!$D$12*((1-COS(Calc!E322))+1/Val!$D$19*(1-(1-(Val!$D$19*SIN(Calc!E322))^2)^0.5))</f>
        <v>0.0010298385054113993</v>
      </c>
      <c r="H322" s="26">
        <f aca="true" t="shared" si="90" ref="H322:H357">F322-G322</f>
        <v>-5.451630292310685E-05</v>
      </c>
      <c r="I322" s="22">
        <f>Val!$D$11*(1-COS(D322))+Val!$D$14+Val!$D$13+Val!$D$12*((1-COS(Calc!E322)))+Val!$D$15</f>
        <v>0.0016753222024882923</v>
      </c>
      <c r="J322" s="22">
        <f>Val!$D$11*((1-COS(Calc!$D322))+1/Val!$D$18*(1-(1-(Val!$D$18*SIN(Calc!$D322))^2)^0.5))+Val!$D$14+Val!$D$13+Val!$D$12*((1-COS(Calc!$E322))+1/Val!$D$19*(1-(1-(Val!$D$19*SIN(Calc!$E322))^2)^0.5))+Val!$D$15</f>
        <v>0.0017298385054113994</v>
      </c>
      <c r="K322" s="44">
        <f aca="true" t="shared" si="91" ref="K322:K357">I322-J322</f>
        <v>-5.451630292310707E-05</v>
      </c>
      <c r="L322" s="50">
        <f>Val!$D$42*Val!$D$22/Val!$D$37/(1-Val!$D$39*COS(D322-Val!$D$40))</f>
        <v>72545.87364930563</v>
      </c>
      <c r="M322" s="50">
        <f>Val!$D$42*Val!$D$22/(Val!$D$11*((1-COS(Calc!D322))+1/Val!$D$18*(1-(1-(Val!$D$18*SIN(Calc!D322))^2)^0.5))/Val!$D$25+Val!$D$14/Val!$D$25+Val!$D$13/Val!$D$27+Val!$D$12*((1-COS(Calc!E322))+1/Val!$D$19*(1-(1-(Val!$D$19*SIN(Calc!E322))^2)^0.5))/Val!$D$26+Val!$D$15/Val!$D$26)</f>
        <v>70424.59945390363</v>
      </c>
      <c r="N322" s="16">
        <f t="shared" si="76"/>
        <v>-0.8974789094027646</v>
      </c>
      <c r="O322" s="16">
        <f t="shared" si="77"/>
        <v>-0.8707972125374045</v>
      </c>
      <c r="P322" s="16">
        <f t="shared" si="78"/>
        <v>1.2329437178844826E-05</v>
      </c>
      <c r="Q322" s="16">
        <f t="shared" si="79"/>
        <v>1.2327438105945096E-05</v>
      </c>
      <c r="R322" s="13">
        <f aca="true" t="shared" si="92" ref="R322:R357">I322/$J$366</f>
        <v>0.680576753068549</v>
      </c>
      <c r="S322" s="13">
        <f aca="true" t="shared" si="93" ref="S322:S357">J322/$J$366</f>
        <v>0.7027232562173777</v>
      </c>
      <c r="T322" s="13">
        <f aca="true" t="shared" si="94" ref="T322:T357">L322/$M$366</f>
        <v>0.42804916669485493</v>
      </c>
      <c r="U322" s="13">
        <f aca="true" t="shared" si="95" ref="U322:U357">M322/$M$366</f>
        <v>0.41553281523339847</v>
      </c>
      <c r="W322" s="387">
        <f>1*(M322-Val!$D$28)*PI()/4*Val!$D$2^2*(SIN(D322)+Val!$D$18/2*SIN(2*D322)/(1-Val!$D$18^2*SIN(D322)^2)^0.5)*Val!$D$4*(D322-D321)+1*(M322-Val!$D$28)*PI()/4*Val!$D$3^2*(SIN(E322)+Val!$D$19/2*SIN(2*E322)/(1-Val!$D$19^2*SIN(E322)^2)^0.5)*Val!$D$5*(E322-E321)</f>
        <v>0.3807622126071351</v>
      </c>
    </row>
    <row r="323" spans="2:23" ht="13.5">
      <c r="B323" s="32">
        <v>318</v>
      </c>
      <c r="C323" s="32">
        <f>B323-Data!$D$10</f>
        <v>228</v>
      </c>
      <c r="D323" s="30">
        <f t="shared" si="88"/>
        <v>5.550147021341968</v>
      </c>
      <c r="E323" s="30">
        <f t="shared" si="89"/>
        <v>3.9793506945470716</v>
      </c>
      <c r="F323" s="26">
        <f>Val!$D$11*(1-COS(D323))+Val!$D$12*(1-COS(E323))</f>
        <v>0.0009629927653094476</v>
      </c>
      <c r="G323" s="26">
        <f>Val!$D$11*((1-COS(Calc!D323))+1/Val!$D$18*(1-(1-(Val!$D$18*SIN(Calc!D323))^2)^0.5))+Val!$D$12*((1-COS(Calc!E323))+1/Val!$D$19*(1-(1-(Val!$D$19*SIN(Calc!E323))^2)^0.5))</f>
        <v>0.0010175110673054542</v>
      </c>
      <c r="H323" s="26">
        <f t="shared" si="90"/>
        <v>-5.451830199600658E-05</v>
      </c>
      <c r="I323" s="22">
        <f>Val!$D$11*(1-COS(D323))+Val!$D$14+Val!$D$13+Val!$D$12*((1-COS(Calc!E323)))+Val!$D$15</f>
        <v>0.0016629927653094476</v>
      </c>
      <c r="J323" s="22">
        <f>Val!$D$11*((1-COS(Calc!$D323))+1/Val!$D$18*(1-(1-(Val!$D$18*SIN(Calc!$D323))^2)^0.5))+Val!$D$14+Val!$D$13+Val!$D$12*((1-COS(Calc!$E323))+1/Val!$D$19*(1-(1-(Val!$D$19*SIN(Calc!$E323))^2)^0.5))+Val!$D$15</f>
        <v>0.001717511067305454</v>
      </c>
      <c r="K323" s="44">
        <f t="shared" si="91"/>
        <v>-5.451830199600647E-05</v>
      </c>
      <c r="L323" s="50">
        <f>Val!$D$42*Val!$D$22/Val!$D$37/(1-Val!$D$39*COS(D323-Val!$D$40))</f>
        <v>73037.23714227058</v>
      </c>
      <c r="M323" s="50">
        <f>Val!$D$42*Val!$D$22/(Val!$D$11*((1-COS(Calc!D323))+1/Val!$D$18*(1-(1-(Val!$D$18*SIN(Calc!D323))^2)^0.5))/Val!$D$25+Val!$D$14/Val!$D$25+Val!$D$13/Val!$D$27+Val!$D$12*((1-COS(Calc!E323))+1/Val!$D$19*(1-(1-(Val!$D$19*SIN(Calc!E323))^2)^0.5))/Val!$D$26+Val!$D$15/Val!$D$26)</f>
        <v>70853.2889530045</v>
      </c>
      <c r="N323" s="16">
        <f t="shared" si="76"/>
        <v>-0.9027751329082914</v>
      </c>
      <c r="O323" s="16">
        <f t="shared" si="77"/>
        <v>-0.8752792372585322</v>
      </c>
      <c r="P323" s="16">
        <f t="shared" si="78"/>
        <v>1.2318164456242013E-05</v>
      </c>
      <c r="Q323" s="16">
        <f t="shared" si="79"/>
        <v>1.2315379395201609E-05</v>
      </c>
      <c r="R323" s="13">
        <f t="shared" si="92"/>
        <v>0.6755680876847334</v>
      </c>
      <c r="S323" s="13">
        <f t="shared" si="93"/>
        <v>0.6977154029296121</v>
      </c>
      <c r="T323" s="13">
        <f t="shared" si="94"/>
        <v>0.43094840442027904</v>
      </c>
      <c r="U323" s="13">
        <f t="shared" si="95"/>
        <v>0.41806225176273193</v>
      </c>
      <c r="W323" s="387">
        <f>1*(M323-Val!$D$28)*PI()/4*Val!$D$2^2*(SIN(D323)+Val!$D$18/2*SIN(2*D323)/(1-Val!$D$18^2*SIN(D323)^2)^0.5)*Val!$D$4*(D323-D322)+1*(M323-Val!$D$28)*PI()/4*Val!$D$3^2*(SIN(E323)+Val!$D$19/2*SIN(2*E323)/(1-Val!$D$19^2*SIN(E323)^2)^0.5)*Val!$D$5*(E323-E322)</f>
        <v>0.3751653631517384</v>
      </c>
    </row>
    <row r="324" spans="2:23" ht="13.5">
      <c r="B324" s="32">
        <v>319</v>
      </c>
      <c r="C324" s="32">
        <f>B324-Data!$D$10</f>
        <v>229</v>
      </c>
      <c r="D324" s="30">
        <f t="shared" si="88"/>
        <v>5.567600313861911</v>
      </c>
      <c r="E324" s="30">
        <f t="shared" si="89"/>
        <v>3.9968039870670147</v>
      </c>
      <c r="F324" s="26">
        <f>Val!$D$11*(1-COS(D324))+Val!$D$12*(1-COS(E324))</f>
        <v>0.0009506746008532056</v>
      </c>
      <c r="G324" s="26">
        <f>Val!$D$11*((1-COS(Calc!D324))+1/Val!$D$18*(1-(1-(Val!$D$18*SIN(Calc!D324))^2)^0.5))+Val!$D$12*((1-COS(Calc!E324))+1/Val!$D$19*(1-(1-(Val!$D$19*SIN(Calc!E324))^2)^0.5))</f>
        <v>0.0010051956879102526</v>
      </c>
      <c r="H324" s="26">
        <f t="shared" si="90"/>
        <v>-5.4521087057046985E-05</v>
      </c>
      <c r="I324" s="22">
        <f>Val!$D$11*(1-COS(D324))+Val!$D$14+Val!$D$13+Val!$D$12*((1-COS(Calc!E324)))+Val!$D$15</f>
        <v>0.0016506746008532055</v>
      </c>
      <c r="J324" s="22">
        <f>Val!$D$11*((1-COS(Calc!$D324))+1/Val!$D$18*(1-(1-(Val!$D$18*SIN(Calc!$D324))^2)^0.5))+Val!$D$14+Val!$D$13+Val!$D$12*((1-COS(Calc!$E324))+1/Val!$D$19*(1-(1-(Val!$D$19*SIN(Calc!$E324))^2)^0.5))+Val!$D$15</f>
        <v>0.0017051956879102525</v>
      </c>
      <c r="K324" s="44">
        <f t="shared" si="91"/>
        <v>-5.4521087057046985E-05</v>
      </c>
      <c r="L324" s="50">
        <f>Val!$D$42*Val!$D$22/Val!$D$37/(1-Val!$D$39*COS(D324-Val!$D$40))</f>
        <v>73539.0057899007</v>
      </c>
      <c r="M324" s="50">
        <f>Val!$D$42*Val!$D$22/(Val!$D$11*((1-COS(Calc!D324))+1/Val!$D$18*(1-(1-(Val!$D$18*SIN(Calc!D324))^2)^0.5))/Val!$D$25+Val!$D$14/Val!$D$25+Val!$D$13/Val!$D$27+Val!$D$12*((1-COS(Calc!E324))+1/Val!$D$19*(1-(1-(Val!$D$19*SIN(Calc!E324))^2)^0.5))/Val!$D$26+Val!$D$15/Val!$D$26)</f>
        <v>71290.80733030831</v>
      </c>
      <c r="N324" s="16">
        <f t="shared" si="76"/>
        <v>-0.9079121580093339</v>
      </c>
      <c r="O324" s="16">
        <f t="shared" si="77"/>
        <v>-0.8795928576933768</v>
      </c>
      <c r="P324" s="16">
        <f t="shared" si="78"/>
        <v>1.2303139501416895E-05</v>
      </c>
      <c r="Q324" s="16">
        <f t="shared" si="79"/>
        <v>1.2299582013645298E-05</v>
      </c>
      <c r="R324" s="13">
        <f t="shared" si="92"/>
        <v>0.6705640016904441</v>
      </c>
      <c r="S324" s="13">
        <f t="shared" si="93"/>
        <v>0.6927124483283152</v>
      </c>
      <c r="T324" s="13">
        <f t="shared" si="94"/>
        <v>0.43390903664768804</v>
      </c>
      <c r="U324" s="13">
        <f t="shared" si="95"/>
        <v>0.42064378214341086</v>
      </c>
      <c r="W324" s="387">
        <f>1*(M324-Val!$D$28)*PI()/4*Val!$D$2^2*(SIN(D324)+Val!$D$18/2*SIN(2*D324)/(1-Val!$D$18^2*SIN(D324)^2)^0.5)*Val!$D$4*(D324-D323)+1*(M324-Val!$D$28)*PI()/4*Val!$D$3^2*(SIN(E324)+Val!$D$19/2*SIN(2*E324)/(1-Val!$D$19^2*SIN(E324)^2)^0.5)*Val!$D$5*(E324-E323)</f>
        <v>0.3693562390354795</v>
      </c>
    </row>
    <row r="325" spans="2:23" ht="13.5">
      <c r="B325" s="32">
        <v>320</v>
      </c>
      <c r="C325" s="32">
        <f>B325-Data!$D$10</f>
        <v>230</v>
      </c>
      <c r="D325" s="30">
        <f t="shared" si="88"/>
        <v>5.585053606381854</v>
      </c>
      <c r="E325" s="30">
        <f t="shared" si="89"/>
        <v>4.014257279586958</v>
      </c>
      <c r="F325" s="26">
        <f>Val!$D$11*(1-COS(D325))+Val!$D$12*(1-COS(E325))</f>
        <v>0.0009383714613517887</v>
      </c>
      <c r="G325" s="26">
        <f>Val!$D$11*((1-COS(Calc!D325))+1/Val!$D$18*(1-(1-(Val!$D$18*SIN(Calc!D325))^2)^0.5))+Val!$D$12*((1-COS(Calc!E325))+1/Val!$D$19*(1-(1-(Val!$D$19*SIN(Calc!E325))^2)^0.5))</f>
        <v>0.0009928961058966073</v>
      </c>
      <c r="H325" s="26">
        <f t="shared" si="90"/>
        <v>-5.452464454481858E-05</v>
      </c>
      <c r="I325" s="22">
        <f>Val!$D$11*(1-COS(D325))+Val!$D$14+Val!$D$13+Val!$D$12*((1-COS(Calc!E325)))+Val!$D$15</f>
        <v>0.0016383714613517888</v>
      </c>
      <c r="J325" s="22">
        <f>Val!$D$11*((1-COS(Calc!$D325))+1/Val!$D$18*(1-(1-(Val!$D$18*SIN(Calc!$D325))^2)^0.5))+Val!$D$14+Val!$D$13+Val!$D$12*((1-COS(Calc!$E325))+1/Val!$D$19*(1-(1-(Val!$D$19*SIN(Calc!$E325))^2)^0.5))+Val!$D$15</f>
        <v>0.0016928961058966074</v>
      </c>
      <c r="K325" s="44">
        <f t="shared" si="91"/>
        <v>-5.452464454481858E-05</v>
      </c>
      <c r="L325" s="50">
        <f>Val!$D$42*Val!$D$22/Val!$D$37/(1-Val!$D$39*COS(D325-Val!$D$40))</f>
        <v>74051.31583569573</v>
      </c>
      <c r="M325" s="50">
        <f>Val!$D$42*Val!$D$22/(Val!$D$11*((1-COS(Calc!D325))+1/Val!$D$18*(1-(1-(Val!$D$18*SIN(Calc!D325))^2)^0.5))/Val!$D$25+Val!$D$14/Val!$D$25+Val!$D$13/Val!$D$27+Val!$D$12*((1-COS(Calc!E325))+1/Val!$D$19*(1-(1-(Val!$D$19*SIN(Calc!E325))^2)^0.5))/Val!$D$26+Val!$D$15/Val!$D$26)</f>
        <v>71737.28203363296</v>
      </c>
      <c r="N325" s="16">
        <f t="shared" si="76"/>
        <v>-0.9128858279609705</v>
      </c>
      <c r="O325" s="16">
        <f t="shared" si="77"/>
        <v>-0.8837348734721797</v>
      </c>
      <c r="P325" s="16">
        <f t="shared" si="78"/>
        <v>1.2284366891116439E-05</v>
      </c>
      <c r="Q325" s="16">
        <f t="shared" si="79"/>
        <v>1.2280054299410167E-05</v>
      </c>
      <c r="R325" s="13">
        <f t="shared" si="92"/>
        <v>0.6655660193787507</v>
      </c>
      <c r="S325" s="13">
        <f t="shared" si="93"/>
        <v>0.6877159111974194</v>
      </c>
      <c r="T325" s="13">
        <f t="shared" si="94"/>
        <v>0.43693186726727723</v>
      </c>
      <c r="U325" s="13">
        <f t="shared" si="95"/>
        <v>0.4232781583676508</v>
      </c>
      <c r="W325" s="387">
        <f>1*(M325-Val!$D$28)*PI()/4*Val!$D$2^2*(SIN(D325)+Val!$D$18/2*SIN(2*D325)/(1-Val!$D$18^2*SIN(D325)^2)^0.5)*Val!$D$4*(D325-D324)+1*(M325-Val!$D$28)*PI()/4*Val!$D$3^2*(SIN(E325)+Val!$D$19/2*SIN(2*E325)/(1-Val!$D$19^2*SIN(E325)^2)^0.5)*Val!$D$5*(E325-E324)</f>
        <v>0.36333878570075295</v>
      </c>
    </row>
    <row r="326" spans="2:23" ht="13.5">
      <c r="B326" s="32">
        <v>321</v>
      </c>
      <c r="C326" s="32">
        <f>B326-Data!$D$10</f>
        <v>231</v>
      </c>
      <c r="D326" s="30">
        <f t="shared" si="88"/>
        <v>5.602506898901797</v>
      </c>
      <c r="E326" s="30">
        <f t="shared" si="89"/>
        <v>4.031710572106901</v>
      </c>
      <c r="F326" s="26">
        <f>Val!$D$11*(1-COS(D326))+Val!$D$12*(1-COS(E326))</f>
        <v>0.0009260870944606723</v>
      </c>
      <c r="G326" s="26">
        <f>Val!$D$11*((1-COS(Calc!D326))+1/Val!$D$18*(1-(1-(Val!$D$18*SIN(Calc!D326))^2)^0.5))+Val!$D$12*((1-COS(Calc!E326))+1/Val!$D$19*(1-(1-(Val!$D$19*SIN(Calc!E326))^2)^0.5))</f>
        <v>0.0009806160515971971</v>
      </c>
      <c r="H326" s="26">
        <f t="shared" si="90"/>
        <v>-5.452895713652485E-05</v>
      </c>
      <c r="I326" s="22">
        <f>Val!$D$11*(1-COS(D326))+Val!$D$14+Val!$D$13+Val!$D$12*((1-COS(Calc!E326)))+Val!$D$15</f>
        <v>0.0016260870944606722</v>
      </c>
      <c r="J326" s="22">
        <f>Val!$D$11*((1-COS(Calc!$D326))+1/Val!$D$18*(1-(1-(Val!$D$18*SIN(Calc!$D326))^2)^0.5))+Val!$D$14+Val!$D$13+Val!$D$12*((1-COS(Calc!$E326))+1/Val!$D$19*(1-(1-(Val!$D$19*SIN(Calc!$E326))^2)^0.5))+Val!$D$15</f>
        <v>0.001680616051597197</v>
      </c>
      <c r="K326" s="44">
        <f t="shared" si="91"/>
        <v>-5.452895713652485E-05</v>
      </c>
      <c r="L326" s="50">
        <f>Val!$D$42*Val!$D$22/Val!$D$37/(1-Val!$D$39*COS(D326-Val!$D$40))</f>
        <v>74574.30501272043</v>
      </c>
      <c r="M326" s="50">
        <f>Val!$D$42*Val!$D$22/(Val!$D$11*((1-COS(Calc!D326))+1/Val!$D$18*(1-(1-(Val!$D$18*SIN(Calc!D326))^2)^0.5))/Val!$D$25+Val!$D$14/Val!$D$25+Val!$D$13/Val!$D$27+Val!$D$12*((1-COS(Calc!E326))+1/Val!$D$19*(1-(1-(Val!$D$19*SIN(Calc!E326))^2)^0.5))/Val!$D$26+Val!$D$15/Val!$D$26)</f>
        <v>72192.84269140371</v>
      </c>
      <c r="N326" s="16">
        <f t="shared" si="76"/>
        <v>-0.9176918506545296</v>
      </c>
      <c r="O326" s="16">
        <f t="shared" si="77"/>
        <v>-0.8877019911583063</v>
      </c>
      <c r="P326" s="16">
        <f t="shared" si="78"/>
        <v>1.2261852343660343E-05</v>
      </c>
      <c r="Q326" s="16">
        <f t="shared" si="79"/>
        <v>1.2256805647983858E-05</v>
      </c>
      <c r="R326" s="13">
        <f t="shared" si="92"/>
        <v>0.6605756631834818</v>
      </c>
      <c r="S326" s="13">
        <f t="shared" si="93"/>
        <v>0.6827273069336037</v>
      </c>
      <c r="T326" s="13">
        <f t="shared" si="94"/>
        <v>0.44001770895826076</v>
      </c>
      <c r="U326" s="13">
        <f t="shared" si="95"/>
        <v>0.42596614529410776</v>
      </c>
      <c r="W326" s="387">
        <f>1*(M326-Val!$D$28)*PI()/4*Val!$D$2^2*(SIN(D326)+Val!$D$18/2*SIN(2*D326)/(1-Val!$D$18^2*SIN(D326)^2)^0.5)*Val!$D$4*(D326-D325)+1*(M326-Val!$D$28)*PI()/4*Val!$D$3^2*(SIN(E326)+Val!$D$19/2*SIN(2*E326)/(1-Val!$D$19^2*SIN(E326)^2)^0.5)*Val!$D$5*(E326-E325)</f>
        <v>0.3571171478485078</v>
      </c>
    </row>
    <row r="327" spans="2:23" ht="13.5">
      <c r="B327" s="32">
        <v>322</v>
      </c>
      <c r="C327" s="32">
        <f>B327-Data!$D$10</f>
        <v>232</v>
      </c>
      <c r="D327" s="30">
        <f t="shared" si="88"/>
        <v>5.619960191421741</v>
      </c>
      <c r="E327" s="30">
        <f t="shared" si="89"/>
        <v>4.049163864626845</v>
      </c>
      <c r="F327" s="26">
        <f>Val!$D$11*(1-COS(D327))+Val!$D$12*(1-COS(E327))</f>
        <v>0.0009138252421170119</v>
      </c>
      <c r="G327" s="26">
        <f>Val!$D$11*((1-COS(Calc!D327))+1/Val!$D$18*(1-(1-(Val!$D$18*SIN(Calc!D327))^2)^0.5))+Val!$D$12*((1-COS(Calc!E327))+1/Val!$D$19*(1-(1-(Val!$D$19*SIN(Calc!E327))^2)^0.5))</f>
        <v>0.0009683592459492133</v>
      </c>
      <c r="H327" s="26">
        <f t="shared" si="90"/>
        <v>-5.453400383220134E-05</v>
      </c>
      <c r="I327" s="22">
        <f>Val!$D$11*(1-COS(D327))+Val!$D$14+Val!$D$13+Val!$D$12*((1-COS(Calc!E327)))+Val!$D$15</f>
        <v>0.001613825242117012</v>
      </c>
      <c r="J327" s="22">
        <f>Val!$D$11*((1-COS(Calc!$D327))+1/Val!$D$18*(1-(1-(Val!$D$18*SIN(Calc!$D327))^2)^0.5))+Val!$D$14+Val!$D$13+Val!$D$12*((1-COS(Calc!$E327))+1/Val!$D$19*(1-(1-(Val!$D$19*SIN(Calc!$E327))^2)^0.5))+Val!$D$15</f>
        <v>0.0016683592459492134</v>
      </c>
      <c r="K327" s="44">
        <f t="shared" si="91"/>
        <v>-5.4534003832201446E-05</v>
      </c>
      <c r="L327" s="50">
        <f>Val!$D$42*Val!$D$22/Val!$D$37/(1-Val!$D$39*COS(D327-Val!$D$40))</f>
        <v>75108.11244503103</v>
      </c>
      <c r="M327" s="50">
        <f>Val!$D$42*Val!$D$22/(Val!$D$11*((1-COS(Calc!D327))+1/Val!$D$18*(1-(1-(Val!$D$18*SIN(Calc!D327))^2)^0.5))/Val!$D$25+Val!$D$14/Val!$D$25+Val!$D$13/Val!$D$27+Val!$D$12*((1-COS(Calc!E327))+1/Val!$D$19*(1-(1-(Val!$D$19*SIN(Calc!E327))^2)^0.5))/Val!$D$26+Val!$D$15/Val!$D$26)</f>
        <v>72657.62106777998</v>
      </c>
      <c r="N327" s="16">
        <f aca="true" t="shared" si="96" ref="N327:N365">(L327+L328)/2*(I328-I327)</f>
        <v>-0.9223257954712913</v>
      </c>
      <c r="O327" s="16">
        <f aca="true" t="shared" si="97" ref="O327:O365">(M327+M328)/2*(J328-J327)</f>
        <v>-0.8914908203870078</v>
      </c>
      <c r="P327" s="16">
        <f aca="true" t="shared" si="98" ref="P327:P365">F327-F328</f>
        <v>1.223560271719612E-05</v>
      </c>
      <c r="Q327" s="16">
        <f aca="true" t="shared" si="99" ref="Q327:Q365">G327-G328</f>
        <v>1.2229846492575682E-05</v>
      </c>
      <c r="R327" s="13">
        <f t="shared" si="92"/>
        <v>0.6555944532154772</v>
      </c>
      <c r="S327" s="13">
        <f t="shared" si="93"/>
        <v>0.6777481471167593</v>
      </c>
      <c r="T327" s="13">
        <f t="shared" si="94"/>
        <v>0.44316738260724936</v>
      </c>
      <c r="U327" s="13">
        <f t="shared" si="95"/>
        <v>0.4287085203831085</v>
      </c>
      <c r="W327" s="387">
        <f>1*(M327-Val!$D$28)*PI()/4*Val!$D$2^2*(SIN(D327)+Val!$D$18/2*SIN(2*D327)/(1-Val!$D$18^2*SIN(D327)^2)^0.5)*Val!$D$4*(D327-D326)+1*(M327-Val!$D$28)*PI()/4*Val!$D$3^2*(SIN(E327)+Val!$D$19/2*SIN(2*E327)/(1-Val!$D$19^2*SIN(E327)^2)^0.5)*Val!$D$5*(E327-E326)</f>
        <v>0.3506956712690327</v>
      </c>
    </row>
    <row r="328" spans="2:23" ht="13.5">
      <c r="B328" s="32">
        <v>323</v>
      </c>
      <c r="C328" s="32">
        <f>B328-Data!$D$10</f>
        <v>233</v>
      </c>
      <c r="D328" s="30">
        <f t="shared" si="88"/>
        <v>5.6374134839416845</v>
      </c>
      <c r="E328" s="30">
        <f t="shared" si="89"/>
        <v>4.066617157146788</v>
      </c>
      <c r="F328" s="26">
        <f>Val!$D$11*(1-COS(D328))+Val!$D$12*(1-COS(E328))</f>
        <v>0.0009015896393998158</v>
      </c>
      <c r="G328" s="26">
        <f>Val!$D$11*((1-COS(Calc!D328))+1/Val!$D$18*(1-(1-(Val!$D$18*SIN(Calc!D328))^2)^0.5))+Val!$D$12*((1-COS(Calc!E328))+1/Val!$D$19*(1-(1-(Val!$D$19*SIN(Calc!E328))^2)^0.5))</f>
        <v>0.0009561293994566376</v>
      </c>
      <c r="H328" s="26">
        <f t="shared" si="90"/>
        <v>-5.4539760056821775E-05</v>
      </c>
      <c r="I328" s="22">
        <f>Val!$D$11*(1-COS(D328))+Val!$D$14+Val!$D$13+Val!$D$12*((1-COS(Calc!E328)))+Val!$D$15</f>
        <v>0.001601589639399816</v>
      </c>
      <c r="J328" s="22">
        <f>Val!$D$11*((1-COS(Calc!$D328))+1/Val!$D$18*(1-(1-(Val!$D$18*SIN(Calc!$D328))^2)^0.5))+Val!$D$14+Val!$D$13+Val!$D$12*((1-COS(Calc!$E328))+1/Val!$D$19*(1-(1-(Val!$D$19*SIN(Calc!$E328))^2)^0.5))+Val!$D$15</f>
        <v>0.0016561293994566376</v>
      </c>
      <c r="K328" s="44">
        <f t="shared" si="91"/>
        <v>-5.453976005682167E-05</v>
      </c>
      <c r="L328" s="50">
        <f>Val!$D$42*Val!$D$22/Val!$D$37/(1-Val!$D$39*COS(D328-Val!$D$40))</f>
        <v>75652.87853991613</v>
      </c>
      <c r="M328" s="50">
        <f>Val!$D$42*Val!$D$22/(Val!$D$11*((1-COS(Calc!D328))+1/Val!$D$18*(1-(1-(Val!$D$18*SIN(Calc!D328))^2)^0.5))/Val!$D$25+Val!$D$14/Val!$D$25+Val!$D$13/Val!$D$27+Val!$D$12*((1-COS(Calc!E328))+1/Val!$D$19*(1-(1-(Val!$D$19*SIN(Calc!E328))^2)^0.5))/Val!$D$26+Val!$D$15/Val!$D$26)</f>
        <v>73131.7510111244</v>
      </c>
      <c r="N328" s="16">
        <f t="shared" si="96"/>
        <v>-0.9267830901276347</v>
      </c>
      <c r="O328" s="16">
        <f t="shared" si="97"/>
        <v>-0.8950978699344347</v>
      </c>
      <c r="P328" s="16">
        <f t="shared" si="98"/>
        <v>1.2205626007615695E-05</v>
      </c>
      <c r="Q328" s="16">
        <f t="shared" si="99"/>
        <v>1.219918828464792E-05</v>
      </c>
      <c r="R328" s="13">
        <f t="shared" si="92"/>
        <v>0.6506239067995473</v>
      </c>
      <c r="S328" s="13">
        <f t="shared" si="93"/>
        <v>0.672779939088428</v>
      </c>
      <c r="T328" s="13">
        <f t="shared" si="94"/>
        <v>0.44638171667242893</v>
      </c>
      <c r="U328" s="13">
        <f t="shared" si="95"/>
        <v>0.431506073392598</v>
      </c>
      <c r="W328" s="387">
        <f>1*(M328-Val!$D$28)*PI()/4*Val!$D$2^2*(SIN(D328)+Val!$D$18/2*SIN(2*D328)/(1-Val!$D$18^2*SIN(D328)^2)^0.5)*Val!$D$4*(D328-D327)+1*(M328-Val!$D$28)*PI()/4*Val!$D$3^2*(SIN(E328)+Val!$D$19/2*SIN(2*E328)/(1-Val!$D$19^2*SIN(E328)^2)^0.5)*Val!$D$5*(E328-E327)</f>
        <v>0.34407890475684927</v>
      </c>
    </row>
    <row r="329" spans="2:23" ht="13.5">
      <c r="B329" s="32">
        <v>324</v>
      </c>
      <c r="C329" s="32">
        <f>B329-Data!$D$10</f>
        <v>234</v>
      </c>
      <c r="D329" s="30">
        <f t="shared" si="88"/>
        <v>5.654866776461628</v>
      </c>
      <c r="E329" s="30">
        <f t="shared" si="89"/>
        <v>4.084070449666731</v>
      </c>
      <c r="F329" s="26">
        <f>Val!$D$11*(1-COS(D329))+Val!$D$12*(1-COS(E329))</f>
        <v>0.0008893840133922001</v>
      </c>
      <c r="G329" s="26">
        <f>Val!$D$11*((1-COS(Calc!D329))+1/Val!$D$18*(1-(1-(Val!$D$18*SIN(Calc!D329))^2)^0.5))+Val!$D$12*((1-COS(Calc!E329))+1/Val!$D$19*(1-(1-(Val!$D$19*SIN(Calc!E329))^2)^0.5))</f>
        <v>0.0009439302111719897</v>
      </c>
      <c r="H329" s="26">
        <f t="shared" si="90"/>
        <v>-5.454619777978955E-05</v>
      </c>
      <c r="I329" s="22">
        <f>Val!$D$11*(1-COS(D329))+Val!$D$14+Val!$D$13+Val!$D$12*((1-COS(Calc!E329)))+Val!$D$15</f>
        <v>0.0015893840133922</v>
      </c>
      <c r="J329" s="22">
        <f>Val!$D$11*((1-COS(Calc!$D329))+1/Val!$D$18*(1-(1-(Val!$D$18*SIN(Calc!$D329))^2)^0.5))+Val!$D$14+Val!$D$13+Val!$D$12*((1-COS(Calc!$E329))+1/Val!$D$19*(1-(1-(Val!$D$19*SIN(Calc!$E329))^2)^0.5))+Val!$D$15</f>
        <v>0.0016439302111719897</v>
      </c>
      <c r="K329" s="44">
        <f t="shared" si="91"/>
        <v>-5.454619777978966E-05</v>
      </c>
      <c r="L329" s="50">
        <f>Val!$D$42*Val!$D$22/Val!$D$37/(1-Val!$D$39*COS(D329-Val!$D$40))</f>
        <v>76208.74487036242</v>
      </c>
      <c r="M329" s="50">
        <f>Val!$D$42*Val!$D$22/(Val!$D$11*((1-COS(Calc!D329))+1/Val!$D$18*(1-(1-(Val!$D$18*SIN(Calc!D329))^2)^0.5))/Val!$D$25+Val!$D$14/Val!$D$25+Val!$D$13/Val!$D$27+Val!$D$12*((1-COS(Calc!E329))+1/Val!$D$19*(1-(1-(Val!$D$19*SIN(Calc!E329))^2)^0.5))/Val!$D$26+Val!$D$15/Val!$D$26)</f>
        <v>73615.36839531535</v>
      </c>
      <c r="N329" s="16">
        <f t="shared" si="96"/>
        <v>-0.9310590175182818</v>
      </c>
      <c r="O329" s="16">
        <f t="shared" si="97"/>
        <v>-0.8985195437233905</v>
      </c>
      <c r="P329" s="16">
        <f t="shared" si="98"/>
        <v>1.2171931346114653E-05</v>
      </c>
      <c r="Q329" s="16">
        <f t="shared" si="99"/>
        <v>1.2164843474657037E-05</v>
      </c>
      <c r="R329" s="13">
        <f t="shared" si="92"/>
        <v>0.6456655380122809</v>
      </c>
      <c r="S329" s="13">
        <f t="shared" si="93"/>
        <v>0.667824185538152</v>
      </c>
      <c r="T329" s="13">
        <f t="shared" si="94"/>
        <v>0.4496615464900624</v>
      </c>
      <c r="U329" s="13">
        <f t="shared" si="95"/>
        <v>0.43435960603186013</v>
      </c>
      <c r="W329" s="387">
        <f>1*(M329-Val!$D$28)*PI()/4*Val!$D$2^2*(SIN(D329)+Val!$D$18/2*SIN(2*D329)/(1-Val!$D$18^2*SIN(D329)^2)^0.5)*Val!$D$4*(D329-D328)+1*(M329-Val!$D$28)*PI()/4*Val!$D$3^2*(SIN(E329)+Val!$D$19/2*SIN(2*E329)/(1-Val!$D$19^2*SIN(E329)^2)^0.5)*Val!$D$5*(E329-E328)</f>
        <v>0.33727160211145385</v>
      </c>
    </row>
    <row r="330" spans="2:23" ht="13.5">
      <c r="B330" s="32">
        <v>325</v>
      </c>
      <c r="C330" s="32">
        <f>B330-Data!$D$10</f>
        <v>235</v>
      </c>
      <c r="D330" s="30">
        <f t="shared" si="88"/>
        <v>5.672320068981571</v>
      </c>
      <c r="E330" s="30">
        <f t="shared" si="89"/>
        <v>4.101523742186674</v>
      </c>
      <c r="F330" s="26">
        <f>Val!$D$11*(1-COS(D330))+Val!$D$12*(1-COS(E330))</f>
        <v>0.0008772120820460855</v>
      </c>
      <c r="G330" s="26">
        <f>Val!$D$11*((1-COS(Calc!D330))+1/Val!$D$18*(1-(1-(Val!$D$18*SIN(Calc!D330))^2)^0.5))+Val!$D$12*((1-COS(Calc!E330))+1/Val!$D$19*(1-(1-(Val!$D$19*SIN(Calc!E330))^2)^0.5))</f>
        <v>0.0009317653676973326</v>
      </c>
      <c r="H330" s="26">
        <f t="shared" si="90"/>
        <v>-5.455328565124717E-05</v>
      </c>
      <c r="I330" s="22">
        <f>Val!$D$11*(1-COS(D330))+Val!$D$14+Val!$D$13+Val!$D$12*((1-COS(Calc!E330)))+Val!$D$15</f>
        <v>0.0015772120820460853</v>
      </c>
      <c r="J330" s="22">
        <f>Val!$D$11*((1-COS(Calc!$D330))+1/Val!$D$18*(1-(1-(Val!$D$18*SIN(Calc!$D330))^2)^0.5))+Val!$D$14+Val!$D$13+Val!$D$12*((1-COS(Calc!$E330))+1/Val!$D$19*(1-(1-(Val!$D$19*SIN(Calc!$E330))^2)^0.5))+Val!$D$15</f>
        <v>0.0016317653676973325</v>
      </c>
      <c r="K330" s="44">
        <f t="shared" si="91"/>
        <v>-5.455328565124717E-05</v>
      </c>
      <c r="L330" s="50">
        <f>Val!$D$42*Val!$D$22/Val!$D$37/(1-Val!$D$39*COS(D330-Val!$D$40))</f>
        <v>76775.8540471267</v>
      </c>
      <c r="M330" s="50">
        <f>Val!$D$42*Val!$D$22/(Val!$D$11*((1-COS(Calc!D330))+1/Val!$D$18*(1-(1-(Val!$D$18*SIN(Calc!D330))^2)^0.5))/Val!$D$25+Val!$D$14/Val!$D$25+Val!$D$13/Val!$D$27+Val!$D$12*((1-COS(Calc!E330))+1/Val!$D$19*(1-(1-(Val!$D$19*SIN(Calc!E330))^2)^0.5))/Val!$D$26+Val!$D$15/Val!$D$26)</f>
        <v>74108.61105337451</v>
      </c>
      <c r="N330" s="16">
        <f t="shared" si="96"/>
        <v>-0.9351487125668786</v>
      </c>
      <c r="O330" s="16">
        <f t="shared" si="97"/>
        <v>-0.9017521367758202</v>
      </c>
      <c r="P330" s="16">
        <f t="shared" si="98"/>
        <v>1.2134528996414398E-05</v>
      </c>
      <c r="Q330" s="16">
        <f t="shared" si="99"/>
        <v>1.2126825493127954E-05</v>
      </c>
      <c r="R330" s="13">
        <f t="shared" si="92"/>
        <v>0.6407208572208437</v>
      </c>
      <c r="S330" s="13">
        <f t="shared" si="93"/>
        <v>0.6628823840976454</v>
      </c>
      <c r="T330" s="13">
        <f t="shared" si="94"/>
        <v>0.45300771351966407</v>
      </c>
      <c r="U330" s="13">
        <f t="shared" si="95"/>
        <v>0.43726993156989435</v>
      </c>
      <c r="W330" s="387">
        <f>1*(M330-Val!$D$28)*PI()/4*Val!$D$2^2*(SIN(D330)+Val!$D$18/2*SIN(2*D330)/(1-Val!$D$18^2*SIN(D330)^2)^0.5)*Val!$D$4*(D330-D329)+1*(M330-Val!$D$28)*PI()/4*Val!$D$3^2*(SIN(E330)+Val!$D$19/2*SIN(2*E330)/(1-Val!$D$19^2*SIN(E330)^2)^0.5)*Val!$D$5*(E330-E329)</f>
        <v>0.3302787242237527</v>
      </c>
    </row>
    <row r="331" spans="2:23" ht="13.5">
      <c r="B331" s="32">
        <v>326</v>
      </c>
      <c r="C331" s="32">
        <f>B331-Data!$D$10</f>
        <v>236</v>
      </c>
      <c r="D331" s="30">
        <f t="shared" si="88"/>
        <v>5.689773361501515</v>
      </c>
      <c r="E331" s="30">
        <f t="shared" si="89"/>
        <v>4.118977034706618</v>
      </c>
      <c r="F331" s="26">
        <f>Val!$D$11*(1-COS(D331))+Val!$D$12*(1-COS(E331))</f>
        <v>0.0008650775530496711</v>
      </c>
      <c r="G331" s="26">
        <f>Val!$D$11*((1-COS(Calc!D331))+1/Val!$D$18*(1-(1-(Val!$D$18*SIN(Calc!D331))^2)^0.5))+Val!$D$12*((1-COS(Calc!E331))+1/Val!$D$19*(1-(1-(Val!$D$19*SIN(Calc!E331))^2)^0.5))</f>
        <v>0.0009196385422042047</v>
      </c>
      <c r="H331" s="26">
        <f t="shared" si="90"/>
        <v>-5.456098915453361E-05</v>
      </c>
      <c r="I331" s="22">
        <f>Val!$D$11*(1-COS(D331))+Val!$D$14+Val!$D$13+Val!$D$12*((1-COS(Calc!E331)))+Val!$D$15</f>
        <v>0.0015650775530496712</v>
      </c>
      <c r="J331" s="22">
        <f>Val!$D$11*((1-COS(Calc!$D331))+1/Val!$D$18*(1-(1-(Val!$D$18*SIN(Calc!$D331))^2)^0.5))+Val!$D$14+Val!$D$13+Val!$D$12*((1-COS(Calc!$E331))+1/Val!$D$19*(1-(1-(Val!$D$19*SIN(Calc!$E331))^2)^0.5))+Val!$D$15</f>
        <v>0.0016196385422042048</v>
      </c>
      <c r="K331" s="44">
        <f t="shared" si="91"/>
        <v>-5.456098915453361E-05</v>
      </c>
      <c r="L331" s="50">
        <f>Val!$D$42*Val!$D$22/Val!$D$37/(1-Val!$D$39*COS(D331-Val!$D$40))</f>
        <v>77354.34957976647</v>
      </c>
      <c r="M331" s="50">
        <f>Val!$D$42*Val!$D$22/(Val!$D$11*((1-COS(Calc!D331))+1/Val!$D$18*(1-(1-(Val!$D$18*SIN(Calc!D331))^2)^0.5))/Val!$D$25+Val!$D$14/Val!$D$25+Val!$D$13/Val!$D$27+Val!$D$12*((1-COS(Calc!E331))+1/Val!$D$19*(1-(1-(Val!$D$19*SIN(Calc!E331))^2)^0.5))/Val!$D$26+Val!$D$15/Val!$D$26)</f>
        <v>74611.61870285354</v>
      </c>
      <c r="N331" s="16">
        <f t="shared" si="96"/>
        <v>-0.9390471590908493</v>
      </c>
      <c r="O331" s="16">
        <f t="shared" si="97"/>
        <v>-0.9047918311193904</v>
      </c>
      <c r="P331" s="16">
        <f t="shared" si="98"/>
        <v>1.2093430351630546E-05</v>
      </c>
      <c r="Q331" s="16">
        <f t="shared" si="99"/>
        <v>1.2085148732103351E-05</v>
      </c>
      <c r="R331" s="13">
        <f t="shared" si="92"/>
        <v>0.6357913706229047</v>
      </c>
      <c r="S331" s="13">
        <f t="shared" si="93"/>
        <v>0.6579560269426554</v>
      </c>
      <c r="T331" s="13">
        <f t="shared" si="94"/>
        <v>0.45642106452402564</v>
      </c>
      <c r="U331" s="13">
        <f t="shared" si="95"/>
        <v>0.44023787439516754</v>
      </c>
      <c r="W331" s="387">
        <f>1*(M331-Val!$D$28)*PI()/4*Val!$D$2^2*(SIN(D331)+Val!$D$18/2*SIN(2*D331)/(1-Val!$D$18^2*SIN(D331)^2)^0.5)*Val!$D$4*(D331-D330)+1*(M331-Val!$D$28)*PI()/4*Val!$D$3^2*(SIN(E331)+Val!$D$19/2*SIN(2*E331)/(1-Val!$D$19^2*SIN(E331)^2)^0.5)*Val!$D$5*(E331-E330)</f>
        <v>0.32310544124830304</v>
      </c>
    </row>
    <row r="332" spans="2:23" ht="13.5">
      <c r="B332" s="32">
        <v>327</v>
      </c>
      <c r="C332" s="32">
        <f>B332-Data!$D$10</f>
        <v>237</v>
      </c>
      <c r="D332" s="30">
        <f t="shared" si="88"/>
        <v>5.707226654021458</v>
      </c>
      <c r="E332" s="30">
        <f t="shared" si="89"/>
        <v>4.136430327226561</v>
      </c>
      <c r="F332" s="26">
        <f>Val!$D$11*(1-COS(D332))+Val!$D$12*(1-COS(E332))</f>
        <v>0.0008529841226980405</v>
      </c>
      <c r="G332" s="26">
        <f>Val!$D$11*((1-COS(Calc!D332))+1/Val!$D$18*(1-(1-(Val!$D$18*SIN(Calc!D332))^2)^0.5))+Val!$D$12*((1-COS(Calc!E332))+1/Val!$D$19*(1-(1-(Val!$D$19*SIN(Calc!E332))^2)^0.5))</f>
        <v>0.0009075533934721013</v>
      </c>
      <c r="H332" s="26">
        <f t="shared" si="90"/>
        <v>-5.4569270774060805E-05</v>
      </c>
      <c r="I332" s="22">
        <f>Val!$D$11*(1-COS(D332))+Val!$D$14+Val!$D$13+Val!$D$12*((1-COS(Calc!E332)))+Val!$D$15</f>
        <v>0.0015529841226980406</v>
      </c>
      <c r="J332" s="22">
        <f>Val!$D$11*((1-COS(Calc!$D332))+1/Val!$D$18*(1-(1-(Val!$D$18*SIN(Calc!$D332))^2)^0.5))+Val!$D$14+Val!$D$13+Val!$D$12*((1-COS(Calc!$E332))+1/Val!$D$19*(1-(1-(Val!$D$19*SIN(Calc!$E332))^2)^0.5))+Val!$D$15</f>
        <v>0.0016075533934721013</v>
      </c>
      <c r="K332" s="44">
        <f t="shared" si="91"/>
        <v>-5.45692707740607E-05</v>
      </c>
      <c r="L332" s="50">
        <f>Val!$D$42*Val!$D$22/Val!$D$37/(1-Val!$D$39*COS(D332-Val!$D$40))</f>
        <v>77944.37572595103</v>
      </c>
      <c r="M332" s="50">
        <f>Val!$D$42*Val!$D$22/(Val!$D$11*((1-COS(Calc!D332))+1/Val!$D$18*(1-(1-(Val!$D$18*SIN(Calc!D332))^2)^0.5))/Val!$D$25+Val!$D$14/Val!$D$25+Val!$D$13/Val!$D$27+Val!$D$12*((1-COS(Calc!E332))+1/Val!$D$19*(1-(1-(Val!$D$19*SIN(Calc!E332))^2)^0.5))/Val!$D$26+Val!$D$15/Val!$D$26)</f>
        <v>75124.5328623922</v>
      </c>
      <c r="N332" s="16">
        <f t="shared" si="96"/>
        <v>-0.942749186692128</v>
      </c>
      <c r="O332" s="16">
        <f t="shared" si="97"/>
        <v>-0.9076346916597708</v>
      </c>
      <c r="P332" s="16">
        <f t="shared" si="98"/>
        <v>1.2048647930810422E-05</v>
      </c>
      <c r="Q332" s="16">
        <f t="shared" si="99"/>
        <v>1.203982852708129E-05</v>
      </c>
      <c r="R332" s="13">
        <f t="shared" si="92"/>
        <v>0.630878579787835</v>
      </c>
      <c r="S332" s="13">
        <f t="shared" si="93"/>
        <v>0.6530466004023581</v>
      </c>
      <c r="T332" s="13">
        <f t="shared" si="94"/>
        <v>0.45990245068009267</v>
      </c>
      <c r="U332" s="13">
        <f t="shared" si="95"/>
        <v>0.44326426952327447</v>
      </c>
      <c r="W332" s="387">
        <f>1*(M332-Val!$D$28)*PI()/4*Val!$D$2^2*(SIN(D332)+Val!$D$18/2*SIN(2*D332)/(1-Val!$D$18^2*SIN(D332)^2)^0.5)*Val!$D$4*(D332-D331)+1*(M332-Val!$D$28)*PI()/4*Val!$D$3^2*(SIN(E332)+Val!$D$19/2*SIN(2*E332)/(1-Val!$D$19^2*SIN(E332)^2)^0.5)*Val!$D$5*(E332-E331)</f>
        <v>0.31575713485930956</v>
      </c>
    </row>
    <row r="333" spans="2:23" ht="13.5">
      <c r="B333" s="32">
        <v>328</v>
      </c>
      <c r="C333" s="32">
        <f>B333-Data!$D$10</f>
        <v>238</v>
      </c>
      <c r="D333" s="30">
        <f t="shared" si="88"/>
        <v>5.724679946541401</v>
      </c>
      <c r="E333" s="30">
        <f t="shared" si="89"/>
        <v>4.153883619746504</v>
      </c>
      <c r="F333" s="26">
        <f>Val!$D$11*(1-COS(D333))+Val!$D$12*(1-COS(E333))</f>
        <v>0.0008409354747672301</v>
      </c>
      <c r="G333" s="26">
        <f>Val!$D$11*((1-COS(Calc!D333))+1/Val!$D$18*(1-(1-(Val!$D$18*SIN(Calc!D333))^2)^0.5))+Val!$D$12*((1-COS(Calc!E333))+1/Val!$D$19*(1-(1-(Val!$D$19*SIN(Calc!E333))^2)^0.5))</f>
        <v>0.00089551356494502</v>
      </c>
      <c r="H333" s="26">
        <f t="shared" si="90"/>
        <v>-5.4578090177789937E-05</v>
      </c>
      <c r="I333" s="22">
        <f>Val!$D$11*(1-COS(D333))+Val!$D$14+Val!$D$13+Val!$D$12*((1-COS(Calc!E333)))+Val!$D$15</f>
        <v>0.00154093547476723</v>
      </c>
      <c r="J333" s="22">
        <f>Val!$D$11*((1-COS(Calc!$D333))+1/Val!$D$18*(1-(1-(Val!$D$18*SIN(Calc!$D333))^2)^0.5))+Val!$D$14+Val!$D$13+Val!$D$12*((1-COS(Calc!$E333))+1/Val!$D$19*(1-(1-(Val!$D$19*SIN(Calc!$E333))^2)^0.5))+Val!$D$15</f>
        <v>0.00159551356494502</v>
      </c>
      <c r="K333" s="44">
        <f t="shared" si="91"/>
        <v>-5.4578090177789937E-05</v>
      </c>
      <c r="L333" s="50">
        <f>Val!$D$42*Val!$D$22/Val!$D$37/(1-Val!$D$39*COS(D333-Val!$D$40))</f>
        <v>78546.0773283458</v>
      </c>
      <c r="M333" s="50">
        <f>Val!$D$42*Val!$D$22/(Val!$D$11*((1-COS(Calc!D333))+1/Val!$D$18*(1-(1-(Val!$D$18*SIN(Calc!D333))^2)^0.5))/Val!$D$25+Val!$D$14/Val!$D$25+Val!$D$13/Val!$D$27+Val!$D$12*((1-COS(Calc!E333))+1/Val!$D$19*(1-(1-(Val!$D$19*SIN(Calc!E333))^2)^0.5))/Val!$D$26+Val!$D$15/Val!$D$26)</f>
        <v>75647.49675883043</v>
      </c>
      <c r="N333" s="16">
        <f t="shared" si="96"/>
        <v>-0.9462494676822693</v>
      </c>
      <c r="O333" s="16">
        <f t="shared" si="97"/>
        <v>-0.9102766620271454</v>
      </c>
      <c r="P333" s="16">
        <f t="shared" si="98"/>
        <v>1.2000195375112973E-05</v>
      </c>
      <c r="Q333" s="16">
        <f t="shared" si="99"/>
        <v>1.1990881139470767E-05</v>
      </c>
      <c r="R333" s="13">
        <f t="shared" si="92"/>
        <v>0.625983981199314</v>
      </c>
      <c r="S333" s="13">
        <f t="shared" si="93"/>
        <v>0.6481555845760932</v>
      </c>
      <c r="T333" s="13">
        <f t="shared" si="94"/>
        <v>0.4634527266165174</v>
      </c>
      <c r="U333" s="13">
        <f t="shared" si="95"/>
        <v>0.44634996204886196</v>
      </c>
      <c r="W333" s="387">
        <f>1*(M333-Val!$D$28)*PI()/4*Val!$D$2^2*(SIN(D333)+Val!$D$18/2*SIN(2*D333)/(1-Val!$D$18^2*SIN(D333)^2)^0.5)*Val!$D$4*(D333-D332)+1*(M333-Val!$D$28)*PI()/4*Val!$D$3^2*(SIN(E333)+Val!$D$19/2*SIN(2*E333)/(1-Val!$D$19^2*SIN(E333)^2)^0.5)*Val!$D$5*(E333-E332)</f>
        <v>0.30823940058813964</v>
      </c>
    </row>
    <row r="334" spans="2:23" ht="13.5">
      <c r="B334" s="32">
        <v>329</v>
      </c>
      <c r="C334" s="32">
        <f>B334-Data!$D$10</f>
        <v>239</v>
      </c>
      <c r="D334" s="30">
        <f t="shared" si="88"/>
        <v>5.742133239061344</v>
      </c>
      <c r="E334" s="30">
        <f t="shared" si="89"/>
        <v>4.171336912266447</v>
      </c>
      <c r="F334" s="26">
        <f>Val!$D$11*(1-COS(D334))+Val!$D$12*(1-COS(E334))</f>
        <v>0.0008289352793921171</v>
      </c>
      <c r="G334" s="26">
        <f>Val!$D$11*((1-COS(Calc!D334))+1/Val!$D$18*(1-(1-(Val!$D$18*SIN(Calc!D334))^2)^0.5))+Val!$D$12*((1-COS(Calc!E334))+1/Val!$D$19*(1-(1-(Val!$D$19*SIN(Calc!E334))^2)^0.5))</f>
        <v>0.0008835226838055493</v>
      </c>
      <c r="H334" s="26">
        <f t="shared" si="90"/>
        <v>-5.458740441343214E-05</v>
      </c>
      <c r="I334" s="22">
        <f>Val!$D$11*(1-COS(D334))+Val!$D$14+Val!$D$13+Val!$D$12*((1-COS(Calc!E334)))+Val!$D$15</f>
        <v>0.0015289352793921172</v>
      </c>
      <c r="J334" s="22">
        <f>Val!$D$11*((1-COS(Calc!$D334))+1/Val!$D$18*(1-(1-(Val!$D$18*SIN(Calc!$D334))^2)^0.5))+Val!$D$14+Val!$D$13+Val!$D$12*((1-COS(Calc!$E334))+1/Val!$D$19*(1-(1-(Val!$D$19*SIN(Calc!$E334))^2)^0.5))+Val!$D$15</f>
        <v>0.0015835226838055493</v>
      </c>
      <c r="K334" s="44">
        <f t="shared" si="91"/>
        <v>-5.4587404413432034E-05</v>
      </c>
      <c r="L334" s="50">
        <f>Val!$D$42*Val!$D$22/Val!$D$37/(1-Val!$D$39*COS(D334-Val!$D$40))</f>
        <v>79159.59963832934</v>
      </c>
      <c r="M334" s="50">
        <f>Val!$D$42*Val!$D$22/(Val!$D$11*((1-COS(Calc!D334))+1/Val!$D$18*(1-(1-(Val!$D$18*SIN(Calc!D334))^2)^0.5))/Val!$D$25+Val!$D$14/Val!$D$25+Val!$D$13/Val!$D$27+Val!$D$12*((1-COS(Calc!E334))+1/Val!$D$19*(1-(1-(Val!$D$19*SIN(Calc!E334))^2)^0.5))/Val!$D$26+Val!$D$15/Val!$D$26)</f>
        <v>76180.65522422253</v>
      </c>
      <c r="N334" s="16">
        <f t="shared" si="96"/>
        <v>-0.9495425140550101</v>
      </c>
      <c r="O334" s="16">
        <f t="shared" si="97"/>
        <v>-0.9127135604104059</v>
      </c>
      <c r="P334" s="16">
        <f t="shared" si="98"/>
        <v>1.1948087443655522E-05</v>
      </c>
      <c r="Q334" s="16">
        <f t="shared" si="99"/>
        <v>1.193832373967414E-05</v>
      </c>
      <c r="R334" s="13">
        <f t="shared" si="92"/>
        <v>0.6211090657994868</v>
      </c>
      <c r="S334" s="13">
        <f t="shared" si="93"/>
        <v>0.6432844529572255</v>
      </c>
      <c r="T334" s="13">
        <f t="shared" si="94"/>
        <v>0.4670727493735205</v>
      </c>
      <c r="U334" s="13">
        <f t="shared" si="95"/>
        <v>0.4494958065379728</v>
      </c>
      <c r="W334" s="387">
        <f>1*(M334-Val!$D$28)*PI()/4*Val!$D$2^2*(SIN(D334)+Val!$D$18/2*SIN(2*D334)/(1-Val!$D$18^2*SIN(D334)^2)^0.5)*Val!$D$4*(D334-D333)+1*(M334-Val!$D$28)*PI()/4*Val!$D$3^2*(SIN(E334)+Val!$D$19/2*SIN(2*E334)/(1-Val!$D$19^2*SIN(E334)^2)^0.5)*Val!$D$5*(E334-E333)</f>
        <v>0.30055805023787036</v>
      </c>
    </row>
    <row r="335" spans="2:23" ht="13.5">
      <c r="B335" s="32">
        <v>330</v>
      </c>
      <c r="C335" s="32">
        <f>B335-Data!$D$10</f>
        <v>240</v>
      </c>
      <c r="D335" s="30">
        <f t="shared" si="88"/>
        <v>5.759586531581287</v>
      </c>
      <c r="E335" s="30">
        <f t="shared" si="89"/>
        <v>4.1887902047863905</v>
      </c>
      <c r="F335" s="26">
        <f>Val!$D$11*(1-COS(D335))+Val!$D$12*(1-COS(E335))</f>
        <v>0.0008169871919484616</v>
      </c>
      <c r="G335" s="26">
        <f>Val!$D$11*((1-COS(Calc!D335))+1/Val!$D$18*(1-(1-(Val!$D$18*SIN(Calc!D335))^2)^0.5))+Val!$D$12*((1-COS(Calc!E335))+1/Val!$D$19*(1-(1-(Val!$D$19*SIN(Calc!E335))^2)^0.5))</f>
        <v>0.0008715843600658751</v>
      </c>
      <c r="H335" s="26">
        <f t="shared" si="90"/>
        <v>-5.4597168117413524E-05</v>
      </c>
      <c r="I335" s="22">
        <f>Val!$D$11*(1-COS(D335))+Val!$D$14+Val!$D$13+Val!$D$12*((1-COS(Calc!E335)))+Val!$D$15</f>
        <v>0.0015169871919484617</v>
      </c>
      <c r="J335" s="22">
        <f>Val!$D$11*((1-COS(Calc!$D335))+1/Val!$D$18*(1-(1-(Val!$D$18*SIN(Calc!$D335))^2)^0.5))+Val!$D$14+Val!$D$13+Val!$D$12*((1-COS(Calc!$E335))+1/Val!$D$19*(1-(1-(Val!$D$19*SIN(Calc!$E335))^2)^0.5))+Val!$D$15</f>
        <v>0.0015715843600658751</v>
      </c>
      <c r="K335" s="44">
        <f t="shared" si="91"/>
        <v>-5.4597168117413416E-05</v>
      </c>
      <c r="L335" s="50">
        <f>Val!$D$42*Val!$D$22/Val!$D$37/(1-Val!$D$39*COS(D335-Val!$D$40))</f>
        <v>79785.08812577315</v>
      </c>
      <c r="M335" s="50">
        <f>Val!$D$42*Val!$D$22/(Val!$D$11*((1-COS(Calc!D335))+1/Val!$D$18*(1-(1-(Val!$D$18*SIN(Calc!D335))^2)^0.5))/Val!$D$25+Val!$D$14/Val!$D$25+Val!$D$13/Val!$D$27+Val!$D$12*((1-COS(Calc!E335))+1/Val!$D$19*(1-(1-(Val!$D$19*SIN(Calc!E335))^2)^0.5))/Val!$D$26+Val!$D$15/Val!$D$26)</f>
        <v>76724.1545820692</v>
      </c>
      <c r="N335" s="16">
        <f t="shared" si="96"/>
        <v>-0.9526226745180583</v>
      </c>
      <c r="O335" s="16">
        <f t="shared" si="97"/>
        <v>-0.9149410753896549</v>
      </c>
      <c r="P335" s="16">
        <f t="shared" si="98"/>
        <v>1.1892340009019963E-05</v>
      </c>
      <c r="Q335" s="16">
        <f t="shared" si="99"/>
        <v>1.1882174390828444E-05</v>
      </c>
      <c r="R335" s="13">
        <f t="shared" si="92"/>
        <v>0.6162553185348086</v>
      </c>
      <c r="S335" s="13">
        <f t="shared" si="93"/>
        <v>0.6384346720638779</v>
      </c>
      <c r="T335" s="13">
        <f t="shared" si="94"/>
        <v>0.4707633772805167</v>
      </c>
      <c r="U335" s="13">
        <f t="shared" si="95"/>
        <v>0.4527026663567694</v>
      </c>
      <c r="W335" s="387">
        <f>1*(M335-Val!$D$28)*PI()/4*Val!$D$2^2*(SIN(D335)+Val!$D$18/2*SIN(2*D335)/(1-Val!$D$18^2*SIN(D335)^2)^0.5)*Val!$D$4*(D335-D334)+1*(M335-Val!$D$28)*PI()/4*Val!$D$3^2*(SIN(E335)+Val!$D$19/2*SIN(2*E335)/(1-Val!$D$19^2*SIN(E335)^2)^0.5)*Val!$D$5*(E335-E334)</f>
        <v>0.292719114370252</v>
      </c>
    </row>
    <row r="336" spans="2:23" ht="13.5">
      <c r="B336" s="32">
        <v>331</v>
      </c>
      <c r="C336" s="32">
        <f>B336-Data!$D$10</f>
        <v>241</v>
      </c>
      <c r="D336" s="30">
        <f t="shared" si="88"/>
        <v>5.777039824101231</v>
      </c>
      <c r="E336" s="30">
        <f t="shared" si="89"/>
        <v>4.2062434973063345</v>
      </c>
      <c r="F336" s="26">
        <f>Val!$D$11*(1-COS(D336))+Val!$D$12*(1-COS(E336))</f>
        <v>0.0008050948519394416</v>
      </c>
      <c r="G336" s="26">
        <f>Val!$D$11*((1-COS(Calc!D336))+1/Val!$D$18*(1-(1-(Val!$D$18*SIN(Calc!D336))^2)^0.5))+Val!$D$12*((1-COS(Calc!E336))+1/Val!$D$19*(1-(1-(Val!$D$19*SIN(Calc!E336))^2)^0.5))</f>
        <v>0.0008597021856750467</v>
      </c>
      <c r="H336" s="26">
        <f t="shared" si="90"/>
        <v>-5.460733373560504E-05</v>
      </c>
      <c r="I336" s="22">
        <f>Val!$D$11*(1-COS(D336))+Val!$D$14+Val!$D$13+Val!$D$12*((1-COS(Calc!E336)))+Val!$D$15</f>
        <v>0.0015050948519394417</v>
      </c>
      <c r="J336" s="22">
        <f>Val!$D$11*((1-COS(Calc!$D336))+1/Val!$D$18*(1-(1-(Val!$D$18*SIN(Calc!$D336))^2)^0.5))+Val!$D$14+Val!$D$13+Val!$D$12*((1-COS(Calc!$E336))+1/Val!$D$19*(1-(1-(Val!$D$19*SIN(Calc!$E336))^2)^0.5))+Val!$D$15</f>
        <v>0.0015597021856750466</v>
      </c>
      <c r="K336" s="44">
        <f t="shared" si="91"/>
        <v>-5.4607333735604826E-05</v>
      </c>
      <c r="L336" s="50">
        <f>Val!$D$42*Val!$D$22/Val!$D$37/(1-Val!$D$39*COS(D336-Val!$D$40))</f>
        <v>80422.68827408156</v>
      </c>
      <c r="M336" s="50">
        <f>Val!$D$42*Val!$D$22/(Val!$D$11*((1-COS(Calc!D336))+1/Val!$D$18*(1-(1-(Val!$D$18*SIN(Calc!D336))^2)^0.5))/Val!$D$25+Val!$D$14/Val!$D$25+Val!$D$13/Val!$D$27+Val!$D$12*((1-COS(Calc!E336))+1/Val!$D$19*(1-(1-(Val!$D$19*SIN(Calc!E336))^2)^0.5))/Val!$D$26+Val!$D$15/Val!$D$26)</f>
        <v>77278.14252204787</v>
      </c>
      <c r="N336" s="16">
        <f t="shared" si="96"/>
        <v>-0.9554841315976852</v>
      </c>
      <c r="O336" s="16">
        <f t="shared" si="97"/>
        <v>-0.9169547617815008</v>
      </c>
      <c r="P336" s="16">
        <f t="shared" si="98"/>
        <v>1.1832970052412344E-05</v>
      </c>
      <c r="Q336" s="16">
        <f t="shared" si="99"/>
        <v>1.1822452033285894E-05</v>
      </c>
      <c r="R336" s="13">
        <f t="shared" si="92"/>
        <v>0.6114242179037152</v>
      </c>
      <c r="S336" s="13">
        <f t="shared" si="93"/>
        <v>0.6336077010762713</v>
      </c>
      <c r="T336" s="13">
        <f t="shared" si="94"/>
        <v>0.4745254687467699</v>
      </c>
      <c r="U336" s="13">
        <f t="shared" si="95"/>
        <v>0.4559714129323941</v>
      </c>
      <c r="W336" s="387">
        <f>1*(M336-Val!$D$28)*PI()/4*Val!$D$2^2*(SIN(D336)+Val!$D$18/2*SIN(2*D336)/(1-Val!$D$18^2*SIN(D336)^2)^0.5)*Val!$D$4*(D336-D335)+1*(M336-Val!$D$28)*PI()/4*Val!$D$3^2*(SIN(E336)+Val!$D$19/2*SIN(2*E336)/(1-Val!$D$19^2*SIN(E336)^2)^0.5)*Val!$D$5*(E336-E335)</f>
        <v>0.2847288448582056</v>
      </c>
    </row>
    <row r="337" spans="2:23" ht="13.5">
      <c r="B337" s="32">
        <v>332</v>
      </c>
      <c r="C337" s="32">
        <f>B337-Data!$D$10</f>
        <v>242</v>
      </c>
      <c r="D337" s="30">
        <f t="shared" si="88"/>
        <v>5.794493116621174</v>
      </c>
      <c r="E337" s="30">
        <f t="shared" si="89"/>
        <v>4.223696789826278</v>
      </c>
      <c r="F337" s="26">
        <f>Val!$D$11*(1-COS(D337))+Val!$D$12*(1-COS(E337))</f>
        <v>0.0007932618818870293</v>
      </c>
      <c r="G337" s="26">
        <f>Val!$D$11*((1-COS(Calc!D337))+1/Val!$D$18*(1-(1-(Val!$D$18*SIN(Calc!D337))^2)^0.5))+Val!$D$12*((1-COS(Calc!E337))+1/Val!$D$19*(1-(1-(Val!$D$19*SIN(Calc!E337))^2)^0.5))</f>
        <v>0.0008478797336417608</v>
      </c>
      <c r="H337" s="26">
        <f t="shared" si="90"/>
        <v>-5.461785175473149E-05</v>
      </c>
      <c r="I337" s="22">
        <f>Val!$D$11*(1-COS(D337))+Val!$D$14+Val!$D$13+Val!$D$12*((1-COS(Calc!E337)))+Val!$D$15</f>
        <v>0.0014932618818870294</v>
      </c>
      <c r="J337" s="22">
        <f>Val!$D$11*((1-COS(Calc!$D337))+1/Val!$D$18*(1-(1-(Val!$D$18*SIN(Calc!$D337))^2)^0.5))+Val!$D$14+Val!$D$13+Val!$D$12*((1-COS(Calc!$E337))+1/Val!$D$19*(1-(1-(Val!$D$19*SIN(Calc!$E337))^2)^0.5))+Val!$D$15</f>
        <v>0.001547879733641761</v>
      </c>
      <c r="K337" s="44">
        <f t="shared" si="91"/>
        <v>-5.461785175473149E-05</v>
      </c>
      <c r="L337" s="50">
        <f>Val!$D$42*Val!$D$22/Val!$D$37/(1-Val!$D$39*COS(D337-Val!$D$40))</f>
        <v>81072.54535965763</v>
      </c>
      <c r="M337" s="50">
        <f>Val!$D$42*Val!$D$22/(Val!$D$11*((1-COS(Calc!D337))+1/Val!$D$18*(1-(1-(Val!$D$18*SIN(Calc!D337))^2)^0.5))/Val!$D$25+Val!$D$14/Val!$D$25+Val!$D$13/Val!$D$27+Val!$D$12*((1-COS(Calc!E337))+1/Val!$D$19*(1-(1-(Val!$D$19*SIN(Calc!E337))^2)^0.5))/Val!$D$26+Val!$D$15/Val!$D$26)</f>
        <v>77842.76796248587</v>
      </c>
      <c r="N337" s="16">
        <f t="shared" si="96"/>
        <v>-0.9581208988323283</v>
      </c>
      <c r="O337" s="16">
        <f t="shared" si="97"/>
        <v>-0.9187500365110806</v>
      </c>
      <c r="P337" s="16">
        <f t="shared" si="98"/>
        <v>1.1769995658499023E-05</v>
      </c>
      <c r="Q337" s="16">
        <f t="shared" si="99"/>
        <v>1.1759176469878824E-05</v>
      </c>
      <c r="R337" s="13">
        <f t="shared" si="92"/>
        <v>0.6066172355062593</v>
      </c>
      <c r="S337" s="13">
        <f t="shared" si="93"/>
        <v>0.6288049914803668</v>
      </c>
      <c r="T337" s="13">
        <f t="shared" si="94"/>
        <v>0.47835988096015486</v>
      </c>
      <c r="U337" s="13">
        <f t="shared" si="95"/>
        <v>0.4593029249415064</v>
      </c>
      <c r="W337" s="387">
        <f>1*(M337-Val!$D$28)*PI()/4*Val!$D$2^2*(SIN(D337)+Val!$D$18/2*SIN(2*D337)/(1-Val!$D$18^2*SIN(D337)^2)^0.5)*Val!$D$4*(D337-D336)+1*(M337-Val!$D$28)*PI()/4*Val!$D$3^2*(SIN(E337)+Val!$D$19/2*SIN(2*E337)/(1-Val!$D$19^2*SIN(E337)^2)^0.5)*Val!$D$5*(E337-E336)</f>
        <v>0.27659371749587736</v>
      </c>
    </row>
    <row r="338" spans="2:23" ht="13.5">
      <c r="B338" s="32">
        <v>333</v>
      </c>
      <c r="C338" s="32">
        <f>B338-Data!$D$10</f>
        <v>243</v>
      </c>
      <c r="D338" s="30">
        <f t="shared" si="88"/>
        <v>5.811946409141117</v>
      </c>
      <c r="E338" s="30">
        <f t="shared" si="89"/>
        <v>4.241150082346221</v>
      </c>
      <c r="F338" s="26">
        <f>Val!$D$11*(1-COS(D338))+Val!$D$12*(1-COS(E338))</f>
        <v>0.0007814918862285303</v>
      </c>
      <c r="G338" s="26">
        <f>Val!$D$11*((1-COS(Calc!D338))+1/Val!$D$18*(1-(1-(Val!$D$18*SIN(Calc!D338))^2)^0.5))+Val!$D$12*((1-COS(Calc!E338))+1/Val!$D$19*(1-(1-(Val!$D$19*SIN(Calc!E338))^2)^0.5))</f>
        <v>0.000836120557171882</v>
      </c>
      <c r="H338" s="26">
        <f t="shared" si="90"/>
        <v>-5.462867094335169E-05</v>
      </c>
      <c r="I338" s="22">
        <f>Val!$D$11*(1-COS(D338))+Val!$D$14+Val!$D$13+Val!$D$12*((1-COS(Calc!E338)))+Val!$D$15</f>
        <v>0.0014814918862285302</v>
      </c>
      <c r="J338" s="22">
        <f>Val!$D$11*((1-COS(Calc!$D338))+1/Val!$D$18*(1-(1-(Val!$D$18*SIN(Calc!$D338))^2)^0.5))+Val!$D$14+Val!$D$13+Val!$D$12*((1-COS(Calc!$E338))+1/Val!$D$19*(1-(1-(Val!$D$19*SIN(Calc!$E338))^2)^0.5))+Val!$D$15</f>
        <v>0.001536120557171882</v>
      </c>
      <c r="K338" s="44">
        <f t="shared" si="91"/>
        <v>-5.46286709433518E-05</v>
      </c>
      <c r="L338" s="50">
        <f>Val!$D$42*Val!$D$22/Val!$D$37/(1-Val!$D$39*COS(D338-Val!$D$40))</f>
        <v>81734.80421492935</v>
      </c>
      <c r="M338" s="50">
        <f>Val!$D$42*Val!$D$22/(Val!$D$11*((1-COS(Calc!D338))+1/Val!$D$18*(1-(1-(Val!$D$18*SIN(Calc!D338))^2)^0.5))/Val!$D$25+Val!$D$14/Val!$D$25+Val!$D$13/Val!$D$27+Val!$D$12*((1-COS(Calc!E338))+1/Val!$D$19*(1-(1-(Val!$D$19*SIN(Calc!E338))^2)^0.5))/Val!$D$26+Val!$D$15/Val!$D$26)</f>
        <v>78418.18089978417</v>
      </c>
      <c r="N338" s="16">
        <f t="shared" si="96"/>
        <v>-0.960526818068977</v>
      </c>
      <c r="O338" s="16">
        <f t="shared" si="97"/>
        <v>-0.9203221745244935</v>
      </c>
      <c r="P338" s="16">
        <f t="shared" si="98"/>
        <v>1.1703436009889603E-05</v>
      </c>
      <c r="Q338" s="16">
        <f t="shared" si="99"/>
        <v>1.1692368352006878E-05</v>
      </c>
      <c r="R338" s="13">
        <f t="shared" si="92"/>
        <v>0.6018358355958452</v>
      </c>
      <c r="S338" s="13">
        <f t="shared" si="93"/>
        <v>0.6240279867174957</v>
      </c>
      <c r="T338" s="13">
        <f t="shared" si="94"/>
        <v>0.48226746848891927</v>
      </c>
      <c r="U338" s="13">
        <f t="shared" si="95"/>
        <v>0.46269808742182383</v>
      </c>
      <c r="W338" s="387">
        <f>1*(M338-Val!$D$28)*PI()/4*Val!$D$2^2*(SIN(D338)+Val!$D$18/2*SIN(2*D338)/(1-Val!$D$18^2*SIN(D338)^2)^0.5)*Val!$D$4*(D338-D337)+1*(M338-Val!$D$28)*PI()/4*Val!$D$3^2*(SIN(E338)+Val!$D$19/2*SIN(2*E338)/(1-Val!$D$19^2*SIN(E338)^2)^0.5)*Val!$D$5*(E338-E337)</f>
        <v>0.26832043465701727</v>
      </c>
    </row>
    <row r="339" spans="2:23" ht="13.5">
      <c r="B339" s="32">
        <v>334</v>
      </c>
      <c r="C339" s="32">
        <f>B339-Data!$D$10</f>
        <v>244</v>
      </c>
      <c r="D339" s="30">
        <f t="shared" si="88"/>
        <v>5.82939970166106</v>
      </c>
      <c r="E339" s="30">
        <f t="shared" si="89"/>
        <v>4.258603374866164</v>
      </c>
      <c r="F339" s="26">
        <f>Val!$D$11*(1-COS(D339))+Val!$D$12*(1-COS(E339))</f>
        <v>0.0007697884502186407</v>
      </c>
      <c r="G339" s="26">
        <f>Val!$D$11*((1-COS(Calc!D339))+1/Val!$D$18*(1-(1-(Val!$D$18*SIN(Calc!D339))^2)^0.5))+Val!$D$12*((1-COS(Calc!E339))+1/Val!$D$19*(1-(1-(Val!$D$19*SIN(Calc!E339))^2)^0.5))</f>
        <v>0.0008244281888198751</v>
      </c>
      <c r="H339" s="26">
        <f t="shared" si="90"/>
        <v>-5.463973860123442E-05</v>
      </c>
      <c r="I339" s="22">
        <f>Val!$D$11*(1-COS(D339))+Val!$D$14+Val!$D$13+Val!$D$12*((1-COS(Calc!E339)))+Val!$D$15</f>
        <v>0.0014697884502186407</v>
      </c>
      <c r="J339" s="22">
        <f>Val!$D$11*((1-COS(Calc!$D339))+1/Val!$D$18*(1-(1-(Val!$D$18*SIN(Calc!$D339))^2)^0.5))+Val!$D$14+Val!$D$13+Val!$D$12*((1-COS(Calc!$E339))+1/Val!$D$19*(1-(1-(Val!$D$19*SIN(Calc!$E339))^2)^0.5))+Val!$D$15</f>
        <v>0.001524428188819875</v>
      </c>
      <c r="K339" s="44">
        <f t="shared" si="91"/>
        <v>-5.463973860123442E-05</v>
      </c>
      <c r="L339" s="50">
        <f>Val!$D$42*Val!$D$22/Val!$D$37/(1-Val!$D$39*COS(D339-Val!$D$40))</f>
        <v>82409.60897403913</v>
      </c>
      <c r="M339" s="50">
        <f>Val!$D$42*Val!$D$22/(Val!$D$11*((1-COS(Calc!D339))+1/Val!$D$18*(1-(1-(Val!$D$18*SIN(Calc!D339))^2)^0.5))/Val!$D$25+Val!$D$14/Val!$D$25+Val!$D$13/Val!$D$27+Val!$D$12*((1-COS(Calc!E339))+1/Val!$D$19*(1-(1-(Val!$D$19*SIN(Calc!E339))^2)^0.5))/Val!$D$26+Val!$D$15/Val!$D$26)</f>
        <v>79004.53224396132</v>
      </c>
      <c r="N339" s="16">
        <f t="shared" si="96"/>
        <v>-0.9626955568826616</v>
      </c>
      <c r="O339" s="16">
        <f t="shared" si="97"/>
        <v>-0.921666304761125</v>
      </c>
      <c r="P339" s="16">
        <f t="shared" si="98"/>
        <v>1.1633311381298393E-05</v>
      </c>
      <c r="Q339" s="16">
        <f t="shared" si="99"/>
        <v>1.1622049166616502E-05</v>
      </c>
      <c r="R339" s="13">
        <f t="shared" si="92"/>
        <v>0.5970814746332042</v>
      </c>
      <c r="S339" s="13">
        <f t="shared" si="93"/>
        <v>0.6192781218396405</v>
      </c>
      <c r="T339" s="13">
        <f t="shared" si="94"/>
        <v>0.4862490817811514</v>
      </c>
      <c r="U339" s="13">
        <f t="shared" si="95"/>
        <v>0.4661577908017671</v>
      </c>
      <c r="W339" s="387">
        <f>1*(M339-Val!$D$28)*PI()/4*Val!$D$2^2*(SIN(D339)+Val!$D$18/2*SIN(2*D339)/(1-Val!$D$18^2*SIN(D339)^2)^0.5)*Val!$D$4*(D339-D338)+1*(M339-Val!$D$28)*PI()/4*Val!$D$3^2*(SIN(E339)+Val!$D$19/2*SIN(2*E339)/(1-Val!$D$19^2*SIN(E339)^2)^0.5)*Val!$D$5*(E339-E338)</f>
        <v>0.2599159279900546</v>
      </c>
    </row>
    <row r="340" spans="2:23" ht="13.5">
      <c r="B340" s="32">
        <v>335</v>
      </c>
      <c r="C340" s="32">
        <f>B340-Data!$D$10</f>
        <v>245</v>
      </c>
      <c r="D340" s="30">
        <f t="shared" si="88"/>
        <v>5.846852994181004</v>
      </c>
      <c r="E340" s="30">
        <f t="shared" si="89"/>
        <v>4.276056667386108</v>
      </c>
      <c r="F340" s="26">
        <f>Val!$D$11*(1-COS(D340))+Val!$D$12*(1-COS(E340))</f>
        <v>0.0007581551388373423</v>
      </c>
      <c r="G340" s="26">
        <f>Val!$D$11*((1-COS(Calc!D340))+1/Val!$D$18*(1-(1-(Val!$D$18*SIN(Calc!D340))^2)^0.5))+Val!$D$12*((1-COS(Calc!E340))+1/Val!$D$19*(1-(1-(Val!$D$19*SIN(Calc!E340))^2)^0.5))</f>
        <v>0.0008128061396532586</v>
      </c>
      <c r="H340" s="26">
        <f t="shared" si="90"/>
        <v>-5.465100081591631E-05</v>
      </c>
      <c r="I340" s="22">
        <f>Val!$D$11*(1-COS(D340))+Val!$D$14+Val!$D$13+Val!$D$12*((1-COS(Calc!E340)))+Val!$D$15</f>
        <v>0.0014581551388373423</v>
      </c>
      <c r="J340" s="22">
        <f>Val!$D$11*((1-COS(Calc!$D340))+1/Val!$D$18*(1-(1-(Val!$D$18*SIN(Calc!$D340))^2)^0.5))+Val!$D$14+Val!$D$13+Val!$D$12*((1-COS(Calc!$E340))+1/Val!$D$19*(1-(1-(Val!$D$19*SIN(Calc!$E340))^2)^0.5))+Val!$D$15</f>
        <v>0.0015128061396532586</v>
      </c>
      <c r="K340" s="44">
        <f t="shared" si="91"/>
        <v>-5.465100081591631E-05</v>
      </c>
      <c r="L340" s="50">
        <f>Val!$D$42*Val!$D$22/Val!$D$37/(1-Val!$D$39*COS(D340-Val!$D$40))</f>
        <v>83097.1028002683</v>
      </c>
      <c r="M340" s="50">
        <f>Val!$D$42*Val!$D$22/(Val!$D$11*((1-COS(Calc!D340))+1/Val!$D$18*(1-(1-(Val!$D$18*SIN(Calc!D340))^2)^0.5))/Val!$D$25+Val!$D$14/Val!$D$25+Val!$D$13/Val!$D$27+Val!$D$12*((1-COS(Calc!E340))+1/Val!$D$19*(1-(1-(Val!$D$19*SIN(Calc!E340))^2)^0.5))/Val!$D$26+Val!$D$15/Val!$D$26)</f>
        <v>79601.9736394495</v>
      </c>
      <c r="N340" s="16">
        <f t="shared" si="96"/>
        <v>-0.9646206061355106</v>
      </c>
      <c r="O340" s="16">
        <f t="shared" si="97"/>
        <v>-0.9227774061998484</v>
      </c>
      <c r="P340" s="16">
        <f t="shared" si="98"/>
        <v>1.1559643133364885E-05</v>
      </c>
      <c r="Q340" s="16">
        <f t="shared" si="99"/>
        <v>1.1548241224078803E-05</v>
      </c>
      <c r="R340" s="13">
        <f t="shared" si="92"/>
        <v>0.5923556008427416</v>
      </c>
      <c r="S340" s="13">
        <f t="shared" si="93"/>
        <v>0.6145568231700049</v>
      </c>
      <c r="T340" s="13">
        <f t="shared" si="94"/>
        <v>0.4903055655564773</v>
      </c>
      <c r="U340" s="13">
        <f t="shared" si="95"/>
        <v>0.4696829298430856</v>
      </c>
      <c r="W340" s="387">
        <f>1*(M340-Val!$D$28)*PI()/4*Val!$D$2^2*(SIN(D340)+Val!$D$18/2*SIN(2*D340)/(1-Val!$D$18^2*SIN(D340)^2)^0.5)*Val!$D$4*(D340-D339)+1*(M340-Val!$D$28)*PI()/4*Val!$D$3^2*(SIN(E340)+Val!$D$19/2*SIN(2*E340)/(1-Val!$D$19^2*SIN(E340)^2)^0.5)*Val!$D$5*(E340-E339)</f>
        <v>0.25138736113757004</v>
      </c>
    </row>
    <row r="341" spans="2:23" ht="13.5">
      <c r="B341" s="32">
        <v>336</v>
      </c>
      <c r="C341" s="32">
        <f>B341-Data!$D$10</f>
        <v>246</v>
      </c>
      <c r="D341" s="30">
        <f t="shared" si="88"/>
        <v>5.8643062867009474</v>
      </c>
      <c r="E341" s="30">
        <f t="shared" si="89"/>
        <v>4.293509959906051</v>
      </c>
      <c r="F341" s="26">
        <f>Val!$D$11*(1-COS(D341))+Val!$D$12*(1-COS(E341))</f>
        <v>0.0007465954957039774</v>
      </c>
      <c r="G341" s="26">
        <f>Val!$D$11*((1-COS(Calc!D341))+1/Val!$D$18*(1-(1-(Val!$D$18*SIN(Calc!D341))^2)^0.5))+Val!$D$12*((1-COS(Calc!E341))+1/Val!$D$19*(1-(1-(Val!$D$19*SIN(Calc!E341))^2)^0.5))</f>
        <v>0.0008012578984291798</v>
      </c>
      <c r="H341" s="26">
        <f t="shared" si="90"/>
        <v>-5.466240272520239E-05</v>
      </c>
      <c r="I341" s="22">
        <f>Val!$D$11*(1-COS(D341))+Val!$D$14+Val!$D$13+Val!$D$12*((1-COS(Calc!E341)))+Val!$D$15</f>
        <v>0.0014465954957039774</v>
      </c>
      <c r="J341" s="22">
        <f>Val!$D$11*((1-COS(Calc!$D341))+1/Val!$D$18*(1-(1-(Val!$D$18*SIN(Calc!$D341))^2)^0.5))+Val!$D$14+Val!$D$13+Val!$D$12*((1-COS(Calc!$E341))+1/Val!$D$19*(1-(1-(Val!$D$19*SIN(Calc!$E341))^2)^0.5))+Val!$D$15</f>
        <v>0.0015012578984291798</v>
      </c>
      <c r="K341" s="44">
        <f t="shared" si="91"/>
        <v>-5.466240272520239E-05</v>
      </c>
      <c r="L341" s="50">
        <f>Val!$D$42*Val!$D$22/Val!$D$37/(1-Val!$D$39*COS(D341-Val!$D$40))</f>
        <v>83797.42759423879</v>
      </c>
      <c r="M341" s="50">
        <f>Val!$D$42*Val!$D$22/(Val!$D$11*((1-COS(Calc!D341))+1/Val!$D$18*(1-(1-(Val!$D$18*SIN(Calc!D341))^2)^0.5))/Val!$D$25+Val!$D$14/Val!$D$25+Val!$D$13/Val!$D$27+Val!$D$12*((1-COS(Calc!E341))+1/Val!$D$19*(1-(1-(Val!$D$19*SIN(Calc!E341))^2)^0.5))/Val!$D$26+Val!$D$15/Val!$D$26)</f>
        <v>80210.65727023395</v>
      </c>
      <c r="N341" s="16">
        <f t="shared" si="96"/>
        <v>-0.9662952776982334</v>
      </c>
      <c r="O341" s="16">
        <f t="shared" si="97"/>
        <v>-0.9236503040008541</v>
      </c>
      <c r="P341" s="16">
        <f t="shared" si="98"/>
        <v>1.1482453706152776E-05</v>
      </c>
      <c r="Q341" s="16">
        <f t="shared" si="99"/>
        <v>1.1470967647027146E-05</v>
      </c>
      <c r="R341" s="13">
        <f t="shared" si="92"/>
        <v>0.5876596537713952</v>
      </c>
      <c r="S341" s="13">
        <f t="shared" si="93"/>
        <v>0.6098655079685096</v>
      </c>
      <c r="T341" s="13">
        <f t="shared" si="94"/>
        <v>0.4944377570843366</v>
      </c>
      <c r="U341" s="13">
        <f t="shared" si="95"/>
        <v>0.473274402491104</v>
      </c>
      <c r="W341" s="387">
        <f>1*(M341-Val!$D$28)*PI()/4*Val!$D$2^2*(SIN(D341)+Val!$D$18/2*SIN(2*D341)/(1-Val!$D$18^2*SIN(D341)^2)^0.5)*Val!$D$4*(D341-D340)+1*(M341-Val!$D$28)*PI()/4*Val!$D$3^2*(SIN(E341)+Val!$D$19/2*SIN(2*E341)/(1-Val!$D$19^2*SIN(E341)^2)^0.5)*Val!$D$5*(E341-E340)</f>
        <v>0.24274213246519477</v>
      </c>
    </row>
    <row r="342" spans="2:23" ht="13.5">
      <c r="B342" s="32">
        <v>337</v>
      </c>
      <c r="C342" s="32">
        <f>B342-Data!$D$10</f>
        <v>247</v>
      </c>
      <c r="D342" s="30">
        <f t="shared" si="88"/>
        <v>5.8817595792208905</v>
      </c>
      <c r="E342" s="30">
        <f t="shared" si="89"/>
        <v>4.310963252425994</v>
      </c>
      <c r="F342" s="26">
        <f>Val!$D$11*(1-COS(D342))+Val!$D$12*(1-COS(E342))</f>
        <v>0.0007351130419978246</v>
      </c>
      <c r="G342" s="26">
        <f>Val!$D$11*((1-COS(Calc!D342))+1/Val!$D$18*(1-(1-(Val!$D$18*SIN(Calc!D342))^2)^0.5))+Val!$D$12*((1-COS(Calc!E342))+1/Val!$D$19*(1-(1-(Val!$D$19*SIN(Calc!E342))^2)^0.5))</f>
        <v>0.0007897869307821526</v>
      </c>
      <c r="H342" s="26">
        <f t="shared" si="90"/>
        <v>-5.467388878432802E-05</v>
      </c>
      <c r="I342" s="22">
        <f>Val!$D$11*(1-COS(D342))+Val!$D$14+Val!$D$13+Val!$D$12*((1-COS(Calc!E342)))+Val!$D$15</f>
        <v>0.0014351130419978247</v>
      </c>
      <c r="J342" s="22">
        <f>Val!$D$11*((1-COS(Calc!$D342))+1/Val!$D$18*(1-(1-(Val!$D$18*SIN(Calc!$D342))^2)^0.5))+Val!$D$14+Val!$D$13+Val!$D$12*((1-COS(Calc!$E342))+1/Val!$D$19*(1-(1-(Val!$D$19*SIN(Calc!$E342))^2)^0.5))+Val!$D$15</f>
        <v>0.0014897869307821526</v>
      </c>
      <c r="K342" s="44">
        <f t="shared" si="91"/>
        <v>-5.467388878432791E-05</v>
      </c>
      <c r="L342" s="50">
        <f>Val!$D$42*Val!$D$22/Val!$D$37/(1-Val!$D$39*COS(D342-Val!$D$40))</f>
        <v>84510.7236819055</v>
      </c>
      <c r="M342" s="50">
        <f>Val!$D$42*Val!$D$22/(Val!$D$11*((1-COS(Calc!D342))+1/Val!$D$18*(1-(1-(Val!$D$18*SIN(Calc!D342))^2)^0.5))/Val!$D$25+Val!$D$14/Val!$D$25+Val!$D$13/Val!$D$27+Val!$D$12*((1-COS(Calc!E342))+1/Val!$D$19*(1-(1-(Val!$D$19*SIN(Calc!E342))^2)^0.5))/Val!$D$26+Val!$D$15/Val!$D$26)</f>
        <v>80830.73564838881</v>
      </c>
      <c r="N342" s="16">
        <f t="shared" si="96"/>
        <v>-0.9677127023537908</v>
      </c>
      <c r="O342" s="16">
        <f t="shared" si="97"/>
        <v>-0.9242796657603454</v>
      </c>
      <c r="P342" s="16">
        <f t="shared" si="98"/>
        <v>1.140176661230854E-05</v>
      </c>
      <c r="Q342" s="16">
        <f t="shared" si="99"/>
        <v>1.1390252360149065E-05</v>
      </c>
      <c r="R342" s="13">
        <f t="shared" si="92"/>
        <v>0.5829950638501332</v>
      </c>
      <c r="S342" s="13">
        <f t="shared" si="93"/>
        <v>0.6052055841018212</v>
      </c>
      <c r="T342" s="13">
        <f t="shared" si="94"/>
        <v>0.4986464843430145</v>
      </c>
      <c r="U342" s="13">
        <f t="shared" si="95"/>
        <v>0.4769331086270005</v>
      </c>
      <c r="W342" s="387">
        <f>1*(M342-Val!$D$28)*PI()/4*Val!$D$2^2*(SIN(D342)+Val!$D$18/2*SIN(2*D342)/(1-Val!$D$18^2*SIN(D342)^2)^0.5)*Val!$D$4*(D342-D341)+1*(M342-Val!$D$28)*PI()/4*Val!$D$3^2*(SIN(E342)+Val!$D$19/2*SIN(2*E342)/(1-Val!$D$19^2*SIN(E342)^2)^0.5)*Val!$D$5*(E342-E341)</f>
        <v>0.2339878777838546</v>
      </c>
    </row>
    <row r="343" spans="2:23" ht="13.5">
      <c r="B343" s="32">
        <v>338</v>
      </c>
      <c r="C343" s="32">
        <f>B343-Data!$D$10</f>
        <v>248</v>
      </c>
      <c r="D343" s="30">
        <f t="shared" si="88"/>
        <v>5.899212871740834</v>
      </c>
      <c r="E343" s="30">
        <f t="shared" si="89"/>
        <v>4.328416544945937</v>
      </c>
      <c r="F343" s="26">
        <f>Val!$D$11*(1-COS(D343))+Val!$D$12*(1-COS(E343))</f>
        <v>0.0007237112753855161</v>
      </c>
      <c r="G343" s="26">
        <f>Val!$D$11*((1-COS(Calc!D343))+1/Val!$D$18*(1-(1-(Val!$D$18*SIN(Calc!D343))^2)^0.5))+Val!$D$12*((1-COS(Calc!E343))+1/Val!$D$19*(1-(1-(Val!$D$19*SIN(Calc!E343))^2)^0.5))</f>
        <v>0.0007783966784220036</v>
      </c>
      <c r="H343" s="26">
        <f t="shared" si="90"/>
        <v>-5.4685403036487494E-05</v>
      </c>
      <c r="I343" s="22">
        <f>Val!$D$11*(1-COS(D343))+Val!$D$14+Val!$D$13+Val!$D$12*((1-COS(Calc!E343)))+Val!$D$15</f>
        <v>0.001423711275385516</v>
      </c>
      <c r="J343" s="22">
        <f>Val!$D$11*((1-COS(Calc!$D343))+1/Val!$D$18*(1-(1-(Val!$D$18*SIN(Calc!$D343))^2)^0.5))+Val!$D$14+Val!$D$13+Val!$D$12*((1-COS(Calc!$E343))+1/Val!$D$19*(1-(1-(Val!$D$19*SIN(Calc!$E343))^2)^0.5))+Val!$D$15</f>
        <v>0.0014783966784220036</v>
      </c>
      <c r="K343" s="44">
        <f t="shared" si="91"/>
        <v>-5.4685403036487494E-05</v>
      </c>
      <c r="L343" s="50">
        <f>Val!$D$42*Val!$D$22/Val!$D$37/(1-Val!$D$39*COS(D343-Val!$D$40))</f>
        <v>85237.12948132404</v>
      </c>
      <c r="M343" s="50">
        <f>Val!$D$42*Val!$D$22/(Val!$D$11*((1-COS(Calc!D343))+1/Val!$D$18*(1-(1-(Val!$D$18*SIN(Calc!D343))^2)^0.5))/Val!$D$25+Val!$D$14/Val!$D$25+Val!$D$13/Val!$D$27+Val!$D$12*((1-COS(Calc!E343))+1/Val!$D$19*(1-(1-(Val!$D$19*SIN(Calc!E343))^2)^0.5))/Val!$D$26+Val!$D$15/Val!$D$26)</f>
        <v>81462.36138502041</v>
      </c>
      <c r="N343" s="16">
        <f t="shared" si="96"/>
        <v>-0.9688658279088607</v>
      </c>
      <c r="O343" s="16">
        <f t="shared" si="97"/>
        <v>-0.9246599979021694</v>
      </c>
      <c r="P343" s="16">
        <f t="shared" si="98"/>
        <v>1.1317606429903093E-05</v>
      </c>
      <c r="Q343" s="16">
        <f t="shared" si="99"/>
        <v>1.1306120080985076E-05</v>
      </c>
      <c r="R343" s="13">
        <f t="shared" si="92"/>
        <v>0.5783632519582326</v>
      </c>
      <c r="S343" s="13">
        <f t="shared" si="93"/>
        <v>0.600578449717529</v>
      </c>
      <c r="T343" s="13">
        <f t="shared" si="94"/>
        <v>0.5029325640534406</v>
      </c>
      <c r="U343" s="13">
        <f t="shared" si="95"/>
        <v>0.480659948716282</v>
      </c>
      <c r="W343" s="387">
        <f>1*(M343-Val!$D$28)*PI()/4*Val!$D$2^2*(SIN(D343)+Val!$D$18/2*SIN(2*D343)/(1-Val!$D$18^2*SIN(D343)^2)^0.5)*Val!$D$4*(D343-D342)+1*(M343-Val!$D$28)*PI()/4*Val!$D$3^2*(SIN(E343)+Val!$D$19/2*SIN(2*E343)/(1-Val!$D$19^2*SIN(E343)^2)^0.5)*Val!$D$5*(E343-E342)</f>
        <v>0.22513247304653097</v>
      </c>
    </row>
    <row r="344" spans="2:23" ht="13.5">
      <c r="B344" s="32">
        <v>339</v>
      </c>
      <c r="C344" s="32">
        <f>B344-Data!$D$10</f>
        <v>249</v>
      </c>
      <c r="D344" s="30">
        <f t="shared" si="88"/>
        <v>5.916666164260777</v>
      </c>
      <c r="E344" s="30">
        <f t="shared" si="89"/>
        <v>4.34586983746588</v>
      </c>
      <c r="F344" s="26">
        <f>Val!$D$11*(1-COS(D344))+Val!$D$12*(1-COS(E344))</f>
        <v>0.000712393668955613</v>
      </c>
      <c r="G344" s="26">
        <f>Val!$D$11*((1-COS(Calc!D344))+1/Val!$D$18*(1-(1-(Val!$D$18*SIN(Calc!D344))^2)^0.5))+Val!$D$12*((1-COS(Calc!E344))+1/Val!$D$19*(1-(1-(Val!$D$19*SIN(Calc!E344))^2)^0.5))</f>
        <v>0.0007670905583410185</v>
      </c>
      <c r="H344" s="26">
        <f t="shared" si="90"/>
        <v>-5.469688938540551E-05</v>
      </c>
      <c r="I344" s="22">
        <f>Val!$D$11*(1-COS(D344))+Val!$D$14+Val!$D$13+Val!$D$12*((1-COS(Calc!E344)))+Val!$D$15</f>
        <v>0.001412393668955613</v>
      </c>
      <c r="J344" s="22">
        <f>Val!$D$11*((1-COS(Calc!$D344))+1/Val!$D$18*(1-(1-(Val!$D$18*SIN(Calc!$D344))^2)^0.5))+Val!$D$14+Val!$D$13+Val!$D$12*((1-COS(Calc!$E344))+1/Val!$D$19*(1-(1-(Val!$D$19*SIN(Calc!$E344))^2)^0.5))+Val!$D$15</f>
        <v>0.0014670905583410185</v>
      </c>
      <c r="K344" s="44">
        <f t="shared" si="91"/>
        <v>-5.469688938540551E-05</v>
      </c>
      <c r="L344" s="50">
        <f>Val!$D$42*Val!$D$22/Val!$D$37/(1-Val!$D$39*COS(D344-Val!$D$40))</f>
        <v>85976.78114715443</v>
      </c>
      <c r="M344" s="50">
        <f>Val!$D$42*Val!$D$22/(Val!$D$11*((1-COS(Calc!D344))+1/Val!$D$18*(1-(1-(Val!$D$18*SIN(Calc!D344))^2)^0.5))/Val!$D$25+Val!$D$14/Val!$D$25+Val!$D$13/Val!$D$27+Val!$D$12*((1-COS(Calc!E344))+1/Val!$D$19*(1-(1-(Val!$D$19*SIN(Calc!E344))^2)^0.5))/Val!$D$26+Val!$D$15/Val!$D$26)</f>
        <v>82105.68694259049</v>
      </c>
      <c r="N344" s="16">
        <f t="shared" si="96"/>
        <v>-0.9697474175378444</v>
      </c>
      <c r="O344" s="16">
        <f t="shared" si="97"/>
        <v>-0.9247856422264278</v>
      </c>
      <c r="P344" s="16">
        <f t="shared" si="98"/>
        <v>1.122999879494364E-05</v>
      </c>
      <c r="Q344" s="16">
        <f t="shared" si="99"/>
        <v>1.1218596311713563E-05</v>
      </c>
      <c r="R344" s="13">
        <f t="shared" si="92"/>
        <v>0.5737656289904649</v>
      </c>
      <c r="S344" s="13">
        <f t="shared" si="93"/>
        <v>0.5959854929220594</v>
      </c>
      <c r="T344" s="13">
        <f t="shared" si="94"/>
        <v>0.5072967995816205</v>
      </c>
      <c r="U344" s="13">
        <f t="shared" si="95"/>
        <v>0.48445582234739387</v>
      </c>
      <c r="W344" s="387">
        <f>1*(M344-Val!$D$28)*PI()/4*Val!$D$2^2*(SIN(D344)+Val!$D$18/2*SIN(2*D344)/(1-Val!$D$18^2*SIN(D344)^2)^0.5)*Val!$D$4*(D344-D343)+1*(M344-Val!$D$28)*PI()/4*Val!$D$3^2*(SIN(E344)+Val!$D$19/2*SIN(2*E344)/(1-Val!$D$19^2*SIN(E344)^2)^0.5)*Val!$D$5*(E344-E343)</f>
        <v>0.2161840369995699</v>
      </c>
    </row>
    <row r="345" spans="2:23" ht="13.5">
      <c r="B345" s="32">
        <v>340</v>
      </c>
      <c r="C345" s="32">
        <f>B345-Data!$D$10</f>
        <v>250</v>
      </c>
      <c r="D345" s="30">
        <f t="shared" si="88"/>
        <v>5.934119456780721</v>
      </c>
      <c r="E345" s="30">
        <f t="shared" si="89"/>
        <v>4.363323129985824</v>
      </c>
      <c r="F345" s="26">
        <f>Val!$D$11*(1-COS(D345))+Val!$D$12*(1-COS(E345))</f>
        <v>0.0007011636701606693</v>
      </c>
      <c r="G345" s="26">
        <f>Val!$D$11*((1-COS(Calc!D345))+1/Val!$D$18*(1-(1-(Val!$D$18*SIN(Calc!D345))^2)^0.5))+Val!$D$12*((1-COS(Calc!E345))+1/Val!$D$19*(1-(1-(Val!$D$19*SIN(Calc!E345))^2)^0.5))</f>
        <v>0.0007558719620293049</v>
      </c>
      <c r="H345" s="26">
        <f t="shared" si="90"/>
        <v>-5.470829186863559E-05</v>
      </c>
      <c r="I345" s="22">
        <f>Val!$D$11*(1-COS(D345))+Val!$D$14+Val!$D$13+Val!$D$12*((1-COS(Calc!E345)))+Val!$D$15</f>
        <v>0.0014011636701606693</v>
      </c>
      <c r="J345" s="22">
        <f>Val!$D$11*((1-COS(Calc!$D345))+1/Val!$D$18*(1-(1-(Val!$D$18*SIN(Calc!$D345))^2)^0.5))+Val!$D$14+Val!$D$13+Val!$D$12*((1-COS(Calc!$E345))+1/Val!$D$19*(1-(1-(Val!$D$19*SIN(Calc!$E345))^2)^0.5))+Val!$D$15</f>
        <v>0.001455871962029305</v>
      </c>
      <c r="K345" s="44">
        <f t="shared" si="91"/>
        <v>-5.47082918686357E-05</v>
      </c>
      <c r="L345" s="50">
        <f>Val!$D$42*Val!$D$22/Val!$D$37/(1-Val!$D$39*COS(D345-Val!$D$40))</f>
        <v>86729.81219183646</v>
      </c>
      <c r="M345" s="50">
        <f>Val!$D$42*Val!$D$22/(Val!$D$11*((1-COS(Calc!D345))+1/Val!$D$18*(1-(1-(Val!$D$18*SIN(Calc!D345))^2)^0.5))/Val!$D$25+Val!$D$14/Val!$D$25+Val!$D$13/Val!$D$27+Val!$D$12*((1-COS(Calc!E345))+1/Val!$D$19*(1-(1-(Val!$D$19*SIN(Calc!E345))^2)^0.5))/Val!$D$26+Val!$D$15/Val!$D$26)</f>
        <v>82760.8643675497</v>
      </c>
      <c r="N345" s="16">
        <f t="shared" si="96"/>
        <v>-0.9703500483865238</v>
      </c>
      <c r="O345" s="16">
        <f t="shared" si="97"/>
        <v>-0.9246507726416292</v>
      </c>
      <c r="P345" s="16">
        <f t="shared" si="98"/>
        <v>1.1138970393562218E-05</v>
      </c>
      <c r="Q345" s="16">
        <f t="shared" si="99"/>
        <v>1.1127707331956126E-05</v>
      </c>
      <c r="R345" s="13">
        <f t="shared" si="92"/>
        <v>0.5692035954273242</v>
      </c>
      <c r="S345" s="13">
        <f t="shared" si="93"/>
        <v>0.5914280914619267</v>
      </c>
      <c r="T345" s="13">
        <f t="shared" si="94"/>
        <v>0.5117399787034228</v>
      </c>
      <c r="U345" s="13">
        <f t="shared" si="95"/>
        <v>0.48832162665415274</v>
      </c>
      <c r="W345" s="387">
        <f>1*(M345-Val!$D$28)*PI()/4*Val!$D$2^2*(SIN(D345)+Val!$D$18/2*SIN(2*D345)/(1-Val!$D$18^2*SIN(D345)^2)^0.5)*Val!$D$4*(D345-D344)+1*(M345-Val!$D$28)*PI()/4*Val!$D$3^2*(SIN(E345)+Val!$D$19/2*SIN(2*E345)/(1-Val!$D$19^2*SIN(E345)^2)^0.5)*Val!$D$5*(E345-E344)</f>
        <v>0.2071509337657856</v>
      </c>
    </row>
    <row r="346" spans="2:23" ht="13.5">
      <c r="B346" s="32">
        <v>341</v>
      </c>
      <c r="C346" s="32">
        <f>B346-Data!$D$10</f>
        <v>251</v>
      </c>
      <c r="D346" s="30">
        <f t="shared" si="88"/>
        <v>5.951572749300664</v>
      </c>
      <c r="E346" s="30">
        <f t="shared" si="89"/>
        <v>4.380776422505767</v>
      </c>
      <c r="F346" s="26">
        <f>Val!$D$11*(1-COS(D346))+Val!$D$12*(1-COS(E346))</f>
        <v>0.0006900246997671071</v>
      </c>
      <c r="G346" s="26">
        <f>Val!$D$11*((1-COS(Calc!D346))+1/Val!$D$18*(1-(1-(Val!$D$18*SIN(Calc!D346))^2)^0.5))+Val!$D$12*((1-COS(Calc!E346))+1/Val!$D$19*(1-(1-(Val!$D$19*SIN(Calc!E346))^2)^0.5))</f>
        <v>0.0007447442546973488</v>
      </c>
      <c r="H346" s="26">
        <f t="shared" si="90"/>
        <v>-5.471955493024168E-05</v>
      </c>
      <c r="I346" s="22">
        <f>Val!$D$11*(1-COS(D346))+Val!$D$14+Val!$D$13+Val!$D$12*((1-COS(Calc!E346)))+Val!$D$15</f>
        <v>0.0013900246997671072</v>
      </c>
      <c r="J346" s="22">
        <f>Val!$D$11*((1-COS(Calc!$D346))+1/Val!$D$18*(1-(1-(Val!$D$18*SIN(Calc!$D346))^2)^0.5))+Val!$D$14+Val!$D$13+Val!$D$12*((1-COS(Calc!$E346))+1/Val!$D$19*(1-(1-(Val!$D$19*SIN(Calc!$E346))^2)^0.5))+Val!$D$15</f>
        <v>0.001444744254697349</v>
      </c>
      <c r="K346" s="44">
        <f t="shared" si="91"/>
        <v>-5.471955493024168E-05</v>
      </c>
      <c r="L346" s="50">
        <f>Val!$D$42*Val!$D$22/Val!$D$37/(1-Val!$D$39*COS(D346-Val!$D$40))</f>
        <v>87496.3530823523</v>
      </c>
      <c r="M346" s="50">
        <f>Val!$D$42*Val!$D$22/(Val!$D$11*((1-COS(Calc!D346))+1/Val!$D$18*(1-(1-(Val!$D$18*SIN(Calc!D346))^2)^0.5))/Val!$D$25+Val!$D$14/Val!$D$25+Val!$D$13/Val!$D$27+Val!$D$12*((1-COS(Calc!E346))+1/Val!$D$19*(1-(1-(Val!$D$19*SIN(Calc!E346))^2)^0.5))/Val!$D$26+Val!$D$15/Val!$D$26)</f>
        <v>83428.04500217327</v>
      </c>
      <c r="N346" s="16">
        <f t="shared" si="96"/>
        <v>-0.9706661104662705</v>
      </c>
      <c r="O346" s="16">
        <f t="shared" si="97"/>
        <v>-0.9242493921050835</v>
      </c>
      <c r="P346" s="16">
        <f t="shared" si="98"/>
        <v>1.1044548953894153E-05</v>
      </c>
      <c r="Q346" s="16">
        <f t="shared" si="99"/>
        <v>1.103348019259123E-05</v>
      </c>
      <c r="R346" s="13">
        <f t="shared" si="92"/>
        <v>0.5646785409084277</v>
      </c>
      <c r="S346" s="13">
        <f t="shared" si="93"/>
        <v>0.5869076124079086</v>
      </c>
      <c r="T346" s="13">
        <f t="shared" si="94"/>
        <v>0.5162628712253186</v>
      </c>
      <c r="U346" s="13">
        <f t="shared" si="95"/>
        <v>0.49225825461546335</v>
      </c>
      <c r="W346" s="387">
        <f>1*(M346-Val!$D$28)*PI()/4*Val!$D$2^2*(SIN(D346)+Val!$D$18/2*SIN(2*D346)/(1-Val!$D$18^2*SIN(D346)^2)^0.5)*Val!$D$4*(D346-D345)+1*(M346-Val!$D$28)*PI()/4*Val!$D$3^2*(SIN(E346)+Val!$D$19/2*SIN(2*E346)/(1-Val!$D$19^2*SIN(E346)^2)^0.5)*Val!$D$5*(E346-E345)</f>
        <v>0.1980417753346663</v>
      </c>
    </row>
    <row r="347" spans="2:23" ht="13.5">
      <c r="B347" s="32">
        <v>342</v>
      </c>
      <c r="C347" s="32">
        <f>B347-Data!$D$10</f>
        <v>252</v>
      </c>
      <c r="D347" s="30">
        <f t="shared" si="88"/>
        <v>5.969026041820607</v>
      </c>
      <c r="E347" s="30">
        <f t="shared" si="89"/>
        <v>4.39822971502571</v>
      </c>
      <c r="F347" s="26">
        <f>Val!$D$11*(1-COS(D347))+Val!$D$12*(1-COS(E347))</f>
        <v>0.000678980150813213</v>
      </c>
      <c r="G347" s="26">
        <f>Val!$D$11*((1-COS(Calc!D347))+1/Val!$D$18*(1-(1-(Val!$D$18*SIN(Calc!D347))^2)^0.5))+Val!$D$12*((1-COS(Calc!E347))+1/Val!$D$19*(1-(1-(Val!$D$19*SIN(Calc!E347))^2)^0.5))</f>
        <v>0.0007337107745047576</v>
      </c>
      <c r="H347" s="26">
        <f t="shared" si="90"/>
        <v>-5.4730623691544604E-05</v>
      </c>
      <c r="I347" s="22">
        <f>Val!$D$11*(1-COS(D347))+Val!$D$14+Val!$D$13+Val!$D$12*((1-COS(Calc!E347)))+Val!$D$15</f>
        <v>0.001378980150813213</v>
      </c>
      <c r="J347" s="22">
        <f>Val!$D$11*((1-COS(Calc!$D347))+1/Val!$D$18*(1-(1-(Val!$D$18*SIN(Calc!$D347))^2)^0.5))+Val!$D$14+Val!$D$13+Val!$D$12*((1-COS(Calc!$E347))+1/Val!$D$19*(1-(1-(Val!$D$19*SIN(Calc!$E347))^2)^0.5))+Val!$D$15</f>
        <v>0.0014337107745047576</v>
      </c>
      <c r="K347" s="44">
        <f t="shared" si="91"/>
        <v>-5.4730623691544604E-05</v>
      </c>
      <c r="L347" s="50">
        <f>Val!$D$42*Val!$D$22/Val!$D$37/(1-Val!$D$39*COS(D347-Val!$D$40))</f>
        <v>88276.53081147437</v>
      </c>
      <c r="M347" s="50">
        <f>Val!$D$42*Val!$D$22/(Val!$D$11*((1-COS(Calc!D347))+1/Val!$D$18*(1-(1-(Val!$D$18*SIN(Calc!D347))^2)^0.5))/Val!$D$25+Val!$D$14/Val!$D$25+Val!$D$13/Val!$D$27+Val!$D$12*((1-COS(Calc!E347))+1/Val!$D$19*(1-(1-(Val!$D$19*SIN(Calc!E347))^2)^0.5))/Val!$D$26+Val!$D$15/Val!$D$26)</f>
        <v>84107.37917445053</v>
      </c>
      <c r="N347" s="16">
        <f t="shared" si="96"/>
        <v>-0.9706878058674718</v>
      </c>
      <c r="O347" s="16">
        <f t="shared" si="97"/>
        <v>-0.9235753297987407</v>
      </c>
      <c r="P347" s="16">
        <f t="shared" si="98"/>
        <v>1.0946763237623452E-05</v>
      </c>
      <c r="Q347" s="16">
        <f t="shared" si="99"/>
        <v>1.0935942710563369E-05</v>
      </c>
      <c r="R347" s="13">
        <f t="shared" si="92"/>
        <v>0.5601918438092167</v>
      </c>
      <c r="S347" s="13">
        <f t="shared" si="93"/>
        <v>0.5824254118417328</v>
      </c>
      <c r="T347" s="13">
        <f t="shared" si="94"/>
        <v>0.520866226454576</v>
      </c>
      <c r="U347" s="13">
        <f t="shared" si="95"/>
        <v>0.49626659322554506</v>
      </c>
      <c r="W347" s="387">
        <f>1*(M347-Val!$D$28)*PI()/4*Val!$D$2^2*(SIN(D347)+Val!$D$18/2*SIN(2*D347)/(1-Val!$D$18^2*SIN(D347)^2)^0.5)*Val!$D$4*(D347-D346)+1*(M347-Val!$D$28)*PI()/4*Val!$D$3^2*(SIN(E347)+Val!$D$19/2*SIN(2*E347)/(1-Val!$D$19^2*SIN(E347)^2)^0.5)*Val!$D$5*(E347-E346)</f>
        <v>0.18886542393292027</v>
      </c>
    </row>
    <row r="348" spans="2:23" ht="13.5">
      <c r="B348" s="32">
        <v>343</v>
      </c>
      <c r="C348" s="32">
        <f>B348-Data!$D$10</f>
        <v>253</v>
      </c>
      <c r="D348" s="30">
        <f t="shared" si="88"/>
        <v>5.98647933434055</v>
      </c>
      <c r="E348" s="30">
        <f t="shared" si="89"/>
        <v>4.4156830075456535</v>
      </c>
      <c r="F348" s="26">
        <f>Val!$D$11*(1-COS(D348))+Val!$D$12*(1-COS(E348))</f>
        <v>0.0006680333875755895</v>
      </c>
      <c r="G348" s="26">
        <f>Val!$D$11*((1-COS(Calc!D348))+1/Val!$D$18*(1-(1-(Val!$D$18*SIN(Calc!D348))^2)^0.5))+Val!$D$12*((1-COS(Calc!E348))+1/Val!$D$19*(1-(1-(Val!$D$19*SIN(Calc!E348))^2)^0.5))</f>
        <v>0.0007227748317941942</v>
      </c>
      <c r="H348" s="26">
        <f t="shared" si="90"/>
        <v>-5.474144421860469E-05</v>
      </c>
      <c r="I348" s="22">
        <f>Val!$D$11*(1-COS(D348))+Val!$D$14+Val!$D$13+Val!$D$12*((1-COS(Calc!E348)))+Val!$D$15</f>
        <v>0.0013680333875755895</v>
      </c>
      <c r="J348" s="22">
        <f>Val!$D$11*((1-COS(Calc!$D348))+1/Val!$D$18*(1-(1-(Val!$D$18*SIN(Calc!$D348))^2)^0.5))+Val!$D$14+Val!$D$13+Val!$D$12*((1-COS(Calc!$E348))+1/Val!$D$19*(1-(1-(Val!$D$19*SIN(Calc!$E348))^2)^0.5))+Val!$D$15</f>
        <v>0.0014227748317941942</v>
      </c>
      <c r="K348" s="44">
        <f t="shared" si="91"/>
        <v>-5.474144421860469E-05</v>
      </c>
      <c r="L348" s="50">
        <f>Val!$D$42*Val!$D$22/Val!$D$37/(1-Val!$D$39*COS(D348-Val!$D$40))</f>
        <v>89070.46844238152</v>
      </c>
      <c r="M348" s="50">
        <f>Val!$D$42*Val!$D$22/(Val!$D$11*((1-COS(Calc!D348))+1/Val!$D$18*(1-(1-(Val!$D$18*SIN(Calc!D348))^2)^0.5))/Val!$D$25+Val!$D$14/Val!$D$25+Val!$D$13/Val!$D$27+Val!$D$12*((1-COS(Calc!E348))+1/Val!$D$19*(1-(1-(Val!$D$19*SIN(Calc!E348))^2)^0.5))/Val!$D$26+Val!$D$15/Val!$D$26)</f>
        <v>84799.01586484142</v>
      </c>
      <c r="N348" s="16">
        <f t="shared" si="96"/>
        <v>-0.970407148328912</v>
      </c>
      <c r="O348" s="16">
        <f t="shared" si="97"/>
        <v>-0.9226222385712151</v>
      </c>
      <c r="P348" s="16">
        <f t="shared" si="98"/>
        <v>1.0845643031228195E-05</v>
      </c>
      <c r="Q348" s="16">
        <f t="shared" si="99"/>
        <v>1.083512346469436E-05</v>
      </c>
      <c r="R348" s="13">
        <f t="shared" si="92"/>
        <v>0.5557448708210915</v>
      </c>
      <c r="S348" s="13">
        <f t="shared" si="93"/>
        <v>0.5779828345448734</v>
      </c>
      <c r="T348" s="13">
        <f t="shared" si="94"/>
        <v>0.5255507705123172</v>
      </c>
      <c r="U348" s="13">
        <f t="shared" si="95"/>
        <v>0.5003475215276642</v>
      </c>
      <c r="W348" s="387">
        <f>1*(M348-Val!$D$28)*PI()/4*Val!$D$2^2*(SIN(D348)+Val!$D$18/2*SIN(2*D348)/(1-Val!$D$18^2*SIN(D348)^2)^0.5)*Val!$D$4*(D348-D347)+1*(M348-Val!$D$28)*PI()/4*Val!$D$3^2*(SIN(E348)+Val!$D$19/2*SIN(2*E348)/(1-Val!$D$19^2*SIN(E348)^2)^0.5)*Val!$D$5*(E348-E347)</f>
        <v>0.17963099424567466</v>
      </c>
    </row>
    <row r="349" spans="2:23" ht="13.5">
      <c r="B349" s="32">
        <v>344</v>
      </c>
      <c r="C349" s="32">
        <f>B349-Data!$D$10</f>
        <v>254</v>
      </c>
      <c r="D349" s="30">
        <f t="shared" si="88"/>
        <v>6.003932626860494</v>
      </c>
      <c r="E349" s="30">
        <f t="shared" si="89"/>
        <v>4.4331363000655974</v>
      </c>
      <c r="F349" s="26">
        <f>Val!$D$11*(1-COS(D349))+Val!$D$12*(1-COS(E349))</f>
        <v>0.0006571877445443613</v>
      </c>
      <c r="G349" s="26">
        <f>Val!$D$11*((1-COS(Calc!D349))+1/Val!$D$18*(1-(1-(Val!$D$18*SIN(Calc!D349))^2)^0.5))+Val!$D$12*((1-COS(Calc!E349))+1/Val!$D$19*(1-(1-(Val!$D$19*SIN(Calc!E349))^2)^0.5))</f>
        <v>0.0007119397083294998</v>
      </c>
      <c r="H349" s="26">
        <f t="shared" si="90"/>
        <v>-5.475196378513852E-05</v>
      </c>
      <c r="I349" s="22">
        <f>Val!$D$11*(1-COS(D349))+Val!$D$14+Val!$D$13+Val!$D$12*((1-COS(Calc!E349)))+Val!$D$15</f>
        <v>0.0013571877445443614</v>
      </c>
      <c r="J349" s="22">
        <f>Val!$D$11*((1-COS(Calc!$D349))+1/Val!$D$18*(1-(1-(Val!$D$18*SIN(Calc!$D349))^2)^0.5))+Val!$D$14+Val!$D$13+Val!$D$12*((1-COS(Calc!$E349))+1/Val!$D$19*(1-(1-(Val!$D$19*SIN(Calc!$E349))^2)^0.5))+Val!$D$15</f>
        <v>0.0014119397083295</v>
      </c>
      <c r="K349" s="44">
        <f t="shared" si="91"/>
        <v>-5.475196378513852E-05</v>
      </c>
      <c r="L349" s="50">
        <f>Val!$D$42*Val!$D$22/Val!$D$37/(1-Val!$D$39*COS(D349-Val!$D$40))</f>
        <v>89878.28462551835</v>
      </c>
      <c r="M349" s="50">
        <f>Val!$D$42*Val!$D$22/(Val!$D$11*((1-COS(Calc!D349))+1/Val!$D$18*(1-(1-(Val!$D$18*SIN(Calc!D349))^2)^0.5))/Val!$D$25+Val!$D$14/Val!$D$25+Val!$D$13/Val!$D$27+Val!$D$12*((1-COS(Calc!E349))+1/Val!$D$19*(1-(1-(Val!$D$19*SIN(Calc!E349))^2)^0.5))/Val!$D$26+Val!$D$15/Val!$D$26)</f>
        <v>85503.10234867723</v>
      </c>
      <c r="N349" s="16">
        <f t="shared" si="96"/>
        <v>-0.9698159631956952</v>
      </c>
      <c r="O349" s="16">
        <f t="shared" si="97"/>
        <v>-0.9213835926748013</v>
      </c>
      <c r="P349" s="16">
        <f t="shared" si="98"/>
        <v>1.0741219136899691E-05</v>
      </c>
      <c r="Q349" s="16">
        <f t="shared" si="99"/>
        <v>1.073105179245123E-05</v>
      </c>
      <c r="R349" s="13">
        <f t="shared" si="92"/>
        <v>0.5513389765351024</v>
      </c>
      <c r="S349" s="13">
        <f t="shared" si="93"/>
        <v>0.5735812136890488</v>
      </c>
      <c r="T349" s="13">
        <f t="shared" si="94"/>
        <v>0.5303172034827974</v>
      </c>
      <c r="U349" s="13">
        <f t="shared" si="95"/>
        <v>0.5045019085041578</v>
      </c>
      <c r="W349" s="387">
        <f>1*(M349-Val!$D$28)*PI()/4*Val!$D$2^2*(SIN(D349)+Val!$D$18/2*SIN(2*D349)/(1-Val!$D$18^2*SIN(D349)^2)^0.5)*Val!$D$4*(D349-D348)+1*(M349-Val!$D$28)*PI()/4*Val!$D$3^2*(SIN(E349)+Val!$D$19/2*SIN(2*E349)/(1-Val!$D$19^2*SIN(E349)^2)^0.5)*Val!$D$5*(E349-E348)</f>
        <v>0.17034785545693543</v>
      </c>
    </row>
    <row r="350" spans="2:23" ht="13.5">
      <c r="B350" s="32">
        <v>345</v>
      </c>
      <c r="C350" s="32">
        <f>B350-Data!$D$10</f>
        <v>255</v>
      </c>
      <c r="D350" s="30">
        <f t="shared" si="88"/>
        <v>6.021385919380437</v>
      </c>
      <c r="E350" s="30">
        <f t="shared" si="89"/>
        <v>4.4505895925855405</v>
      </c>
      <c r="F350" s="26">
        <f>Val!$D$11*(1-COS(D350))+Val!$D$12*(1-COS(E350))</f>
        <v>0.0006464465254074616</v>
      </c>
      <c r="G350" s="26">
        <f>Val!$D$11*((1-COS(Calc!D350))+1/Val!$D$18*(1-(1-(Val!$D$18*SIN(Calc!D350))^2)^0.5))+Val!$D$12*((1-COS(Calc!E350))+1/Val!$D$19*(1-(1-(Val!$D$19*SIN(Calc!E350))^2)^0.5))</f>
        <v>0.0007012086565370486</v>
      </c>
      <c r="H350" s="26">
        <f t="shared" si="90"/>
        <v>-5.476213112958698E-05</v>
      </c>
      <c r="I350" s="22">
        <f>Val!$D$11*(1-COS(D350))+Val!$D$14+Val!$D$13+Val!$D$12*((1-COS(Calc!E350)))+Val!$D$15</f>
        <v>0.0013464465254074615</v>
      </c>
      <c r="J350" s="22">
        <f>Val!$D$11*((1-COS(Calc!$D350))+1/Val!$D$18*(1-(1-(Val!$D$18*SIN(Calc!$D350))^2)^0.5))+Val!$D$14+Val!$D$13+Val!$D$12*((1-COS(Calc!$E350))+1/Val!$D$19*(1-(1-(Val!$D$19*SIN(Calc!$E350))^2)^0.5))+Val!$D$15</f>
        <v>0.0014012086565370486</v>
      </c>
      <c r="K350" s="44">
        <f t="shared" si="91"/>
        <v>-5.476213112958709E-05</v>
      </c>
      <c r="L350" s="50">
        <f>Val!$D$42*Val!$D$22/Val!$D$37/(1-Val!$D$39*COS(D350-Val!$D$40))</f>
        <v>90700.09308656694</v>
      </c>
      <c r="M350" s="50">
        <f>Val!$D$42*Val!$D$22/(Val!$D$11*((1-COS(Calc!D350))+1/Val!$D$18*(1-(1-(Val!$D$18*SIN(Calc!D350))^2)^0.5))/Val!$D$25+Val!$D$14/Val!$D$25+Val!$D$13/Val!$D$27+Val!$D$12*((1-COS(Calc!E350))+1/Val!$D$19*(1-(1-(Val!$D$19*SIN(Calc!E350))^2)^0.5))/Val!$D$26+Val!$D$15/Val!$D$26)</f>
        <v>86219.78381294585</v>
      </c>
      <c r="N350" s="16">
        <f t="shared" si="96"/>
        <v>-0.9689058878067248</v>
      </c>
      <c r="O350" s="16">
        <f t="shared" si="97"/>
        <v>-0.9198526858335493</v>
      </c>
      <c r="P350" s="16">
        <f t="shared" si="98"/>
        <v>1.063352336317042E-05</v>
      </c>
      <c r="Q350" s="16">
        <f t="shared" si="99"/>
        <v>1.0623757787681532E-05</v>
      </c>
      <c r="R350" s="13">
        <f t="shared" si="92"/>
        <v>0.5469755030293306</v>
      </c>
      <c r="S350" s="13">
        <f t="shared" si="93"/>
        <v>0.5692218705280321</v>
      </c>
      <c r="T350" s="13">
        <f t="shared" si="94"/>
        <v>0.5351661963922376</v>
      </c>
      <c r="U350" s="13">
        <f t="shared" si="95"/>
        <v>0.5087306108153163</v>
      </c>
      <c r="W350" s="387">
        <f>1*(M350-Val!$D$28)*PI()/4*Val!$D$2^2*(SIN(D350)+Val!$D$18/2*SIN(2*D350)/(1-Val!$D$18^2*SIN(D350)^2)^0.5)*Val!$D$4*(D350-D349)+1*(M350-Val!$D$28)*PI()/4*Val!$D$3^2*(SIN(E350)+Val!$D$19/2*SIN(2*E350)/(1-Val!$D$19^2*SIN(E350)^2)^0.5)*Val!$D$5*(E350-E349)</f>
        <v>0.16102563307476836</v>
      </c>
    </row>
    <row r="351" spans="2:23" ht="13.5">
      <c r="B351" s="32">
        <v>346</v>
      </c>
      <c r="C351" s="32">
        <f>B351-Data!$D$10</f>
        <v>256</v>
      </c>
      <c r="D351" s="30">
        <f t="shared" si="88"/>
        <v>6.03883921190038</v>
      </c>
      <c r="E351" s="30">
        <f t="shared" si="89"/>
        <v>4.468042885105484</v>
      </c>
      <c r="F351" s="26">
        <f>Val!$D$11*(1-COS(D351))+Val!$D$12*(1-COS(E351))</f>
        <v>0.0006358130020442912</v>
      </c>
      <c r="G351" s="26">
        <f>Val!$D$11*((1-COS(Calc!D351))+1/Val!$D$18*(1-(1-(Val!$D$18*SIN(Calc!D351))^2)^0.5))+Val!$D$12*((1-COS(Calc!E351))+1/Val!$D$19*(1-(1-(Val!$D$19*SIN(Calc!E351))^2)^0.5))</f>
        <v>0.0006905848987493671</v>
      </c>
      <c r="H351" s="26">
        <f t="shared" si="90"/>
        <v>-5.477189670507587E-05</v>
      </c>
      <c r="I351" s="22">
        <f>Val!$D$11*(1-COS(D351))+Val!$D$14+Val!$D$13+Val!$D$12*((1-COS(Calc!E351)))+Val!$D$15</f>
        <v>0.001335813002044291</v>
      </c>
      <c r="J351" s="22">
        <f>Val!$D$11*((1-COS(Calc!$D351))+1/Val!$D$18*(1-(1-(Val!$D$18*SIN(Calc!$D351))^2)^0.5))+Val!$D$14+Val!$D$13+Val!$D$12*((1-COS(Calc!$E351))+1/Val!$D$19*(1-(1-(Val!$D$19*SIN(Calc!$E351))^2)^0.5))+Val!$D$15</f>
        <v>0.001390584898749367</v>
      </c>
      <c r="K351" s="44">
        <f t="shared" si="91"/>
        <v>-5.477189670507598E-05</v>
      </c>
      <c r="L351" s="50">
        <f>Val!$D$42*Val!$D$22/Val!$D$37/(1-Val!$D$39*COS(D351-Val!$D$40))</f>
        <v>91536.00208440231</v>
      </c>
      <c r="M351" s="50">
        <f>Val!$D$42*Val!$D$22/(Val!$D$11*((1-COS(Calc!D351))+1/Val!$D$18*(1-(1-(Val!$D$18*SIN(Calc!D351))^2)^0.5))/Val!$D$25+Val!$D$14/Val!$D$25+Val!$D$13/Val!$D$27+Val!$D$12*((1-COS(Calc!E351))+1/Val!$D$19*(1-(1-(Val!$D$19*SIN(Calc!E351))^2)^0.5))/Val!$D$26+Val!$D$15/Val!$D$26)</f>
        <v>86949.20294617201</v>
      </c>
      <c r="N351" s="16">
        <f t="shared" si="96"/>
        <v>-0.9676683723490893</v>
      </c>
      <c r="O351" s="16">
        <f t="shared" si="97"/>
        <v>-0.9180226296742262</v>
      </c>
      <c r="P351" s="16">
        <f t="shared" si="98"/>
        <v>1.0522588515215407E-05</v>
      </c>
      <c r="Q351" s="16">
        <f t="shared" si="99"/>
        <v>1.0513272299243347E-05</v>
      </c>
      <c r="R351" s="13">
        <f t="shared" si="92"/>
        <v>0.5426557794600755</v>
      </c>
      <c r="S351" s="13">
        <f t="shared" si="93"/>
        <v>0.5649061140903819</v>
      </c>
      <c r="T351" s="13">
        <f t="shared" si="94"/>
        <v>0.5400983880105487</v>
      </c>
      <c r="U351" s="13">
        <f t="shared" si="95"/>
        <v>0.5130344703795153</v>
      </c>
      <c r="W351" s="387">
        <f>1*(M351-Val!$D$28)*PI()/4*Val!$D$2^2*(SIN(D351)+Val!$D$18/2*SIN(2*D351)/(1-Val!$D$18^2*SIN(D351)^2)^0.5)*Val!$D$4*(D351-D350)+1*(M351-Val!$D$28)*PI()/4*Val!$D$3^2*(SIN(E351)+Val!$D$19/2*SIN(2*E351)/(1-Val!$D$19^2*SIN(E351)^2)^0.5)*Val!$D$5*(E351-E350)</f>
        <v>0.15167421050458146</v>
      </c>
    </row>
    <row r="352" spans="2:23" ht="13.5">
      <c r="B352" s="32">
        <v>347</v>
      </c>
      <c r="C352" s="32">
        <f>B352-Data!$D$10</f>
        <v>257</v>
      </c>
      <c r="D352" s="30">
        <f t="shared" si="88"/>
        <v>6.056292504420323</v>
      </c>
      <c r="E352" s="30">
        <f t="shared" si="89"/>
        <v>4.485496177625427</v>
      </c>
      <c r="F352" s="26">
        <f>Val!$D$11*(1-COS(D352))+Val!$D$12*(1-COS(E352))</f>
        <v>0.0006252904135290758</v>
      </c>
      <c r="G352" s="26">
        <f>Val!$D$11*((1-COS(Calc!D352))+1/Val!$D$18*(1-(1-(Val!$D$18*SIN(Calc!D352))^2)^0.5))+Val!$D$12*((1-COS(Calc!E352))+1/Val!$D$19*(1-(1-(Val!$D$19*SIN(Calc!E352))^2)^0.5))</f>
        <v>0.0006800716264501237</v>
      </c>
      <c r="H352" s="26">
        <f t="shared" si="90"/>
        <v>-5.478121292104793E-05</v>
      </c>
      <c r="I352" s="22">
        <f>Val!$D$11*(1-COS(D352))+Val!$D$14+Val!$D$13+Val!$D$12*((1-COS(Calc!E352)))+Val!$D$15</f>
        <v>0.001325290413529076</v>
      </c>
      <c r="J352" s="22">
        <f>Val!$D$11*((1-COS(Calc!$D352))+1/Val!$D$18*(1-(1-(Val!$D$18*SIN(Calc!$D352))^2)^0.5))+Val!$D$14+Val!$D$13+Val!$D$12*((1-COS(Calc!$E352))+1/Val!$D$19*(1-(1-(Val!$D$19*SIN(Calc!$E352))^2)^0.5))+Val!$D$15</f>
        <v>0.0013800716264501238</v>
      </c>
      <c r="K352" s="44">
        <f t="shared" si="91"/>
        <v>-5.478121292104782E-05</v>
      </c>
      <c r="L352" s="50">
        <f>Val!$D$42*Val!$D$22/Val!$D$37/(1-Val!$D$39*COS(D352-Val!$D$40))</f>
        <v>92386.11383790983</v>
      </c>
      <c r="M352" s="50">
        <f>Val!$D$42*Val!$D$22/(Val!$D$11*((1-COS(Calc!D352))+1/Val!$D$18*(1-(1-(Val!$D$18*SIN(Calc!D352))^2)^0.5))/Val!$D$25+Val!$D$14/Val!$D$25+Val!$D$13/Val!$D$27+Val!$D$12*((1-COS(Calc!E352))+1/Val!$D$19*(1-(1-(Val!$D$19*SIN(Calc!E352))^2)^0.5))/Val!$D$26+Val!$D$15/Val!$D$26)</f>
        <v>87691.49950006956</v>
      </c>
      <c r="N352" s="16">
        <f t="shared" si="96"/>
        <v>-0.9660946812243913</v>
      </c>
      <c r="O352" s="16">
        <f t="shared" si="97"/>
        <v>-0.9158863525596252</v>
      </c>
      <c r="P352" s="16">
        <f t="shared" si="98"/>
        <v>1.0408448384864122E-05</v>
      </c>
      <c r="Q352" s="16">
        <f t="shared" si="99"/>
        <v>1.0399626930526393E-05</v>
      </c>
      <c r="R352" s="13">
        <f t="shared" si="92"/>
        <v>0.5383811216569825</v>
      </c>
      <c r="S352" s="13">
        <f t="shared" si="93"/>
        <v>0.5606352408727302</v>
      </c>
      <c r="T352" s="13">
        <f t="shared" si="94"/>
        <v>0.5451143814693287</v>
      </c>
      <c r="U352" s="13">
        <f t="shared" si="95"/>
        <v>0.5174143117867923</v>
      </c>
      <c r="W352" s="387">
        <f>1*(M352-Val!$D$28)*PI()/4*Val!$D$2^2*(SIN(D352)+Val!$D$18/2*SIN(2*D352)/(1-Val!$D$18^2*SIN(D352)^2)^0.5)*Val!$D$4*(D352-D351)+1*(M352-Val!$D$28)*PI()/4*Val!$D$3^2*(SIN(E352)+Val!$D$19/2*SIN(2*E352)/(1-Val!$D$19^2*SIN(E352)^2)^0.5)*Val!$D$5*(E352-E351)</f>
        <v>0.14230373033069726</v>
      </c>
    </row>
    <row r="353" spans="2:23" ht="13.5">
      <c r="B353" s="32">
        <v>348</v>
      </c>
      <c r="C353" s="32">
        <f>B353-Data!$D$10</f>
        <v>258</v>
      </c>
      <c r="D353" s="30">
        <f t="shared" si="88"/>
        <v>6.073745796940266</v>
      </c>
      <c r="E353" s="30">
        <f t="shared" si="89"/>
        <v>4.50294947014537</v>
      </c>
      <c r="F353" s="26">
        <f>Val!$D$11*(1-COS(D353))+Val!$D$12*(1-COS(E353))</f>
        <v>0.0006148819651442117</v>
      </c>
      <c r="G353" s="26">
        <f>Val!$D$11*((1-COS(Calc!D353))+1/Val!$D$18*(1-(1-(Val!$D$18*SIN(Calc!D353))^2)^0.5))+Val!$D$12*((1-COS(Calc!E353))+1/Val!$D$19*(1-(1-(Val!$D$19*SIN(Calc!E353))^2)^0.5))</f>
        <v>0.0006696719995195973</v>
      </c>
      <c r="H353" s="26">
        <f t="shared" si="90"/>
        <v>-5.479003437538566E-05</v>
      </c>
      <c r="I353" s="22">
        <f>Val!$D$11*(1-COS(D353))+Val!$D$14+Val!$D$13+Val!$D$12*((1-COS(Calc!E353)))+Val!$D$15</f>
        <v>0.0013148819651442117</v>
      </c>
      <c r="J353" s="22">
        <f>Val!$D$11*((1-COS(Calc!$D353))+1/Val!$D$18*(1-(1-(Val!$D$18*SIN(Calc!$D353))^2)^0.5))+Val!$D$14+Val!$D$13+Val!$D$12*((1-COS(Calc!$E353))+1/Val!$D$19*(1-(1-(Val!$D$19*SIN(Calc!$E353))^2)^0.5))+Val!$D$15</f>
        <v>0.0013696719995195973</v>
      </c>
      <c r="K353" s="44">
        <f t="shared" si="91"/>
        <v>-5.479003437538566E-05</v>
      </c>
      <c r="L353" s="50">
        <f>Val!$D$42*Val!$D$22/Val!$D$37/(1-Val!$D$39*COS(D353-Val!$D$40))</f>
        <v>93250.52392055916</v>
      </c>
      <c r="M353" s="50">
        <f>Val!$D$42*Val!$D$22/(Val!$D$11*((1-COS(Calc!D353))+1/Val!$D$18*(1-(1-(Val!$D$18*SIN(Calc!D353))^2)^0.5))/Val!$D$25+Val!$D$14/Val!$D$25+Val!$D$13/Val!$D$27+Val!$D$12*((1-COS(Calc!E353))+1/Val!$D$19*(1-(1-(Val!$D$19*SIN(Calc!E353))^2)^0.5))/Val!$D$26+Val!$D$15/Val!$D$26)</f>
        <v>88446.80982162006</v>
      </c>
      <c r="N353" s="16">
        <f t="shared" si="96"/>
        <v>-0.9641758949705397</v>
      </c>
      <c r="O353" s="16">
        <f t="shared" si="97"/>
        <v>-0.913436598862411</v>
      </c>
      <c r="P353" s="16">
        <f t="shared" si="98"/>
        <v>1.0291137740306303E-05</v>
      </c>
      <c r="Q353" s="16">
        <f t="shared" si="99"/>
        <v>1.028285403980526E-05</v>
      </c>
      <c r="R353" s="13">
        <f t="shared" si="92"/>
        <v>0.5341528317222276</v>
      </c>
      <c r="S353" s="13">
        <f t="shared" si="93"/>
        <v>0.5564105345332633</v>
      </c>
      <c r="T353" s="13">
        <f t="shared" si="94"/>
        <v>0.5502147406896111</v>
      </c>
      <c r="U353" s="13">
        <f t="shared" si="95"/>
        <v>0.5218709395379257</v>
      </c>
      <c r="W353" s="387">
        <f>1*(M353-Val!$D$28)*PI()/4*Val!$D$2^2*(SIN(D353)+Val!$D$18/2*SIN(2*D353)/(1-Val!$D$18^2*SIN(D353)^2)^0.5)*Val!$D$4*(D353-D352)+1*(M353-Val!$D$28)*PI()/4*Val!$D$3^2*(SIN(E353)+Val!$D$19/2*SIN(2*E353)/(1-Val!$D$19^2*SIN(E353)^2)^0.5)*Val!$D$5*(E353-E352)</f>
        <v>0.13292459526426426</v>
      </c>
    </row>
    <row r="354" spans="2:23" ht="13.5">
      <c r="B354" s="32">
        <v>349</v>
      </c>
      <c r="C354" s="32">
        <f>B354-Data!$D$10</f>
        <v>259</v>
      </c>
      <c r="D354" s="30">
        <f t="shared" si="88"/>
        <v>6.09119908946021</v>
      </c>
      <c r="E354" s="30">
        <f t="shared" si="89"/>
        <v>4.520402762665314</v>
      </c>
      <c r="F354" s="26">
        <f>Val!$D$11*(1-COS(D354))+Val!$D$12*(1-COS(E354))</f>
        <v>0.0006045908274039054</v>
      </c>
      <c r="G354" s="26">
        <f>Val!$D$11*((1-COS(Calc!D354))+1/Val!$D$18*(1-(1-(Val!$D$18*SIN(Calc!D354))^2)^0.5))+Val!$D$12*((1-COS(Calc!E354))+1/Val!$D$19*(1-(1-(Val!$D$19*SIN(Calc!E354))^2)^0.5))</f>
        <v>0.0006593891454797921</v>
      </c>
      <c r="H354" s="26">
        <f t="shared" si="90"/>
        <v>-5.47983180758867E-05</v>
      </c>
      <c r="I354" s="22">
        <f>Val!$D$11*(1-COS(D354))+Val!$D$14+Val!$D$13+Val!$D$12*((1-COS(Calc!E354)))+Val!$D$15</f>
        <v>0.0013045908274039054</v>
      </c>
      <c r="J354" s="22">
        <f>Val!$D$11*((1-COS(Calc!$D354))+1/Val!$D$18*(1-(1-(Val!$D$18*SIN(Calc!$D354))^2)^0.5))+Val!$D$14+Val!$D$13+Val!$D$12*((1-COS(Calc!$E354))+1/Val!$D$19*(1-(1-(Val!$D$19*SIN(Calc!$E354))^2)^0.5))+Val!$D$15</f>
        <v>0.001359389145479792</v>
      </c>
      <c r="K354" s="44">
        <f t="shared" si="91"/>
        <v>-5.479831807588659E-05</v>
      </c>
      <c r="L354" s="50">
        <f>Val!$D$42*Val!$D$22/Val!$D$37/(1-Val!$D$39*COS(D354-Val!$D$40))</f>
        <v>94129.3206216522</v>
      </c>
      <c r="M354" s="50">
        <f>Val!$D$42*Val!$D$22/(Val!$D$11*((1-COS(Calc!D354))+1/Val!$D$18*(1-(1-(Val!$D$18*SIN(Calc!D354))^2)^0.5))/Val!$D$25+Val!$D$14/Val!$D$25+Val!$D$13/Val!$D$27+Val!$D$12*((1-COS(Calc!E354))+1/Val!$D$19*(1-(1-(Val!$D$19*SIN(Calc!E354))^2)^0.5))/Val!$D$26+Val!$D$15/Val!$D$26)</f>
        <v>89215.26635420795</v>
      </c>
      <c r="N354" s="16">
        <f t="shared" si="96"/>
        <v>-0.9619029127880442</v>
      </c>
      <c r="O354" s="16">
        <f t="shared" si="97"/>
        <v>-0.9106659287213117</v>
      </c>
      <c r="P354" s="16">
        <f t="shared" si="98"/>
        <v>1.0170692315499409E-05</v>
      </c>
      <c r="Q354" s="16">
        <f t="shared" si="99"/>
        <v>1.0162986741377384E-05</v>
      </c>
      <c r="R354" s="13">
        <f t="shared" si="92"/>
        <v>0.5299721976338856</v>
      </c>
      <c r="S354" s="13">
        <f t="shared" si="93"/>
        <v>0.5522332655850608</v>
      </c>
      <c r="T354" s="13">
        <f t="shared" si="94"/>
        <v>0.5553999866129767</v>
      </c>
      <c r="U354" s="13">
        <f t="shared" si="95"/>
        <v>0.5264051351009371</v>
      </c>
      <c r="W354" s="387">
        <f>1*(M354-Val!$D$28)*PI()/4*Val!$D$2^2*(SIN(D354)+Val!$D$18/2*SIN(2*D354)/(1-Val!$D$18^2*SIN(D354)^2)^0.5)*Val!$D$4*(D354-D353)+1*(M354-Val!$D$28)*PI()/4*Val!$D$3^2*(SIN(E354)+Val!$D$19/2*SIN(2*E354)/(1-Val!$D$19^2*SIN(E354)^2)^0.5)*Val!$D$5*(E354-E353)</f>
        <v>0.12354746871230653</v>
      </c>
    </row>
    <row r="355" spans="2:23" ht="13.5">
      <c r="B355" s="32">
        <v>350</v>
      </c>
      <c r="C355" s="32">
        <f>B355-Data!$D$10</f>
        <v>260</v>
      </c>
      <c r="D355" s="30">
        <f t="shared" si="88"/>
        <v>6.1086523819801535</v>
      </c>
      <c r="E355" s="30">
        <f t="shared" si="89"/>
        <v>4.537856055185257</v>
      </c>
      <c r="F355" s="26">
        <f>Val!$D$11*(1-COS(D355))+Val!$D$12*(1-COS(E355))</f>
        <v>0.000594420135088406</v>
      </c>
      <c r="G355" s="26">
        <f>Val!$D$11*((1-COS(Calc!D355))+1/Val!$D$18*(1-(1-(Val!$D$18*SIN(Calc!D355))^2)^0.5))+Val!$D$12*((1-COS(Calc!E355))+1/Val!$D$19*(1-(1-(Val!$D$19*SIN(Calc!E355))^2)^0.5))</f>
        <v>0.0006492261587384147</v>
      </c>
      <c r="H355" s="26">
        <f t="shared" si="90"/>
        <v>-5.4806023650008726E-05</v>
      </c>
      <c r="I355" s="22">
        <f>Val!$D$11*(1-COS(D355))+Val!$D$14+Val!$D$13+Val!$D$12*((1-COS(Calc!E355)))+Val!$D$15</f>
        <v>0.001294420135088406</v>
      </c>
      <c r="J355" s="22">
        <f>Val!$D$11*((1-COS(Calc!$D355))+1/Val!$D$18*(1-(1-(Val!$D$18*SIN(Calc!$D355))^2)^0.5))+Val!$D$14+Val!$D$13+Val!$D$12*((1-COS(Calc!$E355))+1/Val!$D$19*(1-(1-(Val!$D$19*SIN(Calc!$E355))^2)^0.5))+Val!$D$15</f>
        <v>0.0013492261587384148</v>
      </c>
      <c r="K355" s="44">
        <f t="shared" si="91"/>
        <v>-5.4806023650008726E-05</v>
      </c>
      <c r="L355" s="50">
        <f>Val!$D$42*Val!$D$22/Val!$D$37/(1-Val!$D$39*COS(D355-Val!$D$40))</f>
        <v>95022.58427319613</v>
      </c>
      <c r="M355" s="50">
        <f>Val!$D$42*Val!$D$22/(Val!$D$11*((1-COS(Calc!D355))+1/Val!$D$18*(1-(1-(Val!$D$18*SIN(Calc!D355))^2)^0.5))/Val!$D$25+Val!$D$14/Val!$D$25+Val!$D$13/Val!$D$27+Val!$D$12*((1-COS(Calc!E355))+1/Val!$D$19*(1-(1-(Val!$D$19*SIN(Calc!E355))^2)^0.5))/Val!$D$26+Val!$D$15/Val!$D$26)</f>
        <v>89996.99710642688</v>
      </c>
      <c r="N355" s="16">
        <f t="shared" si="96"/>
        <v>-0.9592664557201561</v>
      </c>
      <c r="O355" s="16">
        <f t="shared" si="97"/>
        <v>-0.9075667183239485</v>
      </c>
      <c r="P355" s="16">
        <f t="shared" si="98"/>
        <v>1.0047148799287894E-05</v>
      </c>
      <c r="Q355" s="16">
        <f t="shared" si="99"/>
        <v>1.004005890743937E-05</v>
      </c>
      <c r="R355" s="13">
        <f t="shared" si="92"/>
        <v>0.5258404928535986</v>
      </c>
      <c r="S355" s="13">
        <f t="shared" si="93"/>
        <v>0.5481046910889716</v>
      </c>
      <c r="T355" s="13">
        <f t="shared" si="94"/>
        <v>0.5606705932298404</v>
      </c>
      <c r="U355" s="13">
        <f t="shared" si="95"/>
        <v>0.5310176537768392</v>
      </c>
      <c r="W355" s="387">
        <f>1*(M355-Val!$D$28)*PI()/4*Val!$D$2^2*(SIN(D355)+Val!$D$18/2*SIN(2*D355)/(1-Val!$D$18^2*SIN(D355)^2)^0.5)*Val!$D$4*(D355-D354)+1*(M355-Val!$D$28)*PI()/4*Val!$D$3^2*(SIN(E355)+Val!$D$19/2*SIN(2*E355)/(1-Val!$D$19^2*SIN(E355)^2)^0.5)*Val!$D$5*(E355-E354)</f>
        <v>0.11418327492005721</v>
      </c>
    </row>
    <row r="356" spans="2:23" ht="13.5">
      <c r="B356" s="32">
        <v>351</v>
      </c>
      <c r="C356" s="32">
        <f>B356-Data!$D$10</f>
        <v>261</v>
      </c>
      <c r="D356" s="30">
        <f t="shared" si="88"/>
        <v>6.126105674500097</v>
      </c>
      <c r="E356" s="30">
        <f t="shared" si="89"/>
        <v>4.5553093477052</v>
      </c>
      <c r="F356" s="26">
        <f>Val!$D$11*(1-COS(D356))+Val!$D$12*(1-COS(E356))</f>
        <v>0.0005843729862891181</v>
      </c>
      <c r="G356" s="26">
        <f>Val!$D$11*((1-COS(Calc!D356))+1/Val!$D$18*(1-(1-(Val!$D$18*SIN(Calc!D356))^2)^0.5))+Val!$D$12*((1-COS(Calc!E356))+1/Val!$D$19*(1-(1-(Val!$D$19*SIN(Calc!E356))^2)^0.5))</f>
        <v>0.0006391860998309753</v>
      </c>
      <c r="H356" s="26">
        <f t="shared" si="90"/>
        <v>-5.481311354185725E-05</v>
      </c>
      <c r="I356" s="22">
        <f>Val!$D$11*(1-COS(D356))+Val!$D$14+Val!$D$13+Val!$D$12*((1-COS(Calc!E356)))+Val!$D$15</f>
        <v>0.001284372986289118</v>
      </c>
      <c r="J356" s="22">
        <f>Val!$D$11*((1-COS(Calc!$D356))+1/Val!$D$18*(1-(1-(Val!$D$18*SIN(Calc!$D356))^2)^0.5))+Val!$D$14+Val!$D$13+Val!$D$12*((1-COS(Calc!$E356))+1/Val!$D$19*(1-(1-(Val!$D$19*SIN(Calc!$E356))^2)^0.5))+Val!$D$15</f>
        <v>0.0013391860998309753</v>
      </c>
      <c r="K356" s="44">
        <f t="shared" si="91"/>
        <v>-5.481311354185725E-05</v>
      </c>
      <c r="L356" s="50">
        <f>Val!$D$42*Val!$D$22/Val!$D$37/(1-Val!$D$39*COS(D356-Val!$D$40))</f>
        <v>95930.38654139661</v>
      </c>
      <c r="M356" s="50">
        <f>Val!$D$42*Val!$D$22/(Val!$D$11*((1-COS(Calc!D356))+1/Val!$D$18*(1-(1-(Val!$D$18*SIN(Calc!D356))^2)^0.5))/Val!$D$25+Val!$D$14/Val!$D$25+Val!$D$13/Val!$D$27+Val!$D$12*((1-COS(Calc!E356))+1/Val!$D$19*(1-(1-(Val!$D$19*SIN(Calc!E356))^2)^0.5))/Val!$D$26+Val!$D$15/Val!$D$26)</f>
        <v>90792.12508716107</v>
      </c>
      <c r="N356" s="16">
        <f t="shared" si="96"/>
        <v>-0.9562570705392649</v>
      </c>
      <c r="O356" s="16">
        <f t="shared" si="97"/>
        <v>-0.9041311607614821</v>
      </c>
      <c r="P356" s="16">
        <f t="shared" si="98"/>
        <v>9.920544824223239E-06</v>
      </c>
      <c r="Q356" s="16">
        <f t="shared" si="99"/>
        <v>9.914105170633894E-06</v>
      </c>
      <c r="R356" s="13">
        <f t="shared" si="92"/>
        <v>0.5217589759386673</v>
      </c>
      <c r="S356" s="13">
        <f t="shared" si="93"/>
        <v>0.544026054345727</v>
      </c>
      <c r="T356" s="13">
        <f t="shared" si="94"/>
        <v>0.5660269833989817</v>
      </c>
      <c r="U356" s="13">
        <f t="shared" si="95"/>
        <v>0.5357092213663941</v>
      </c>
      <c r="W356" s="387">
        <f>1*(M356-Val!$D$28)*PI()/4*Val!$D$2^2*(SIN(D356)+Val!$D$18/2*SIN(2*D356)/(1-Val!$D$18^2*SIN(D356)^2)^0.5)*Val!$D$4*(D356-D355)+1*(M356-Val!$D$28)*PI()/4*Val!$D$3^2*(SIN(E356)+Val!$D$19/2*SIN(2*E356)/(1-Val!$D$19^2*SIN(E356)^2)^0.5)*Val!$D$5*(E356-E355)</f>
        <v>0.10484319863592934</v>
      </c>
    </row>
    <row r="357" spans="2:23" ht="13.5">
      <c r="B357" s="32">
        <v>352</v>
      </c>
      <c r="C357" s="32">
        <f>B357-Data!$D$10</f>
        <v>262</v>
      </c>
      <c r="D357" s="30">
        <f t="shared" si="88"/>
        <v>6.14355896702004</v>
      </c>
      <c r="E357" s="30">
        <f t="shared" si="89"/>
        <v>4.572762640225143</v>
      </c>
      <c r="F357" s="26">
        <f>Val!$D$11*(1-COS(D357))+Val!$D$12*(1-COS(E357))</f>
        <v>0.0005744524414648948</v>
      </c>
      <c r="G357" s="26">
        <f>Val!$D$11*((1-COS(Calc!D357))+1/Val!$D$18*(1-(1-(Val!$D$18*SIN(Calc!D357))^2)^0.5))+Val!$D$12*((1-COS(Calc!E357))+1/Val!$D$19*(1-(1-(Val!$D$19*SIN(Calc!E357))^2)^0.5))</f>
        <v>0.0006292719946603414</v>
      </c>
      <c r="H357" s="26">
        <f t="shared" si="90"/>
        <v>-5.4819553195446596E-05</v>
      </c>
      <c r="I357" s="22">
        <f>Val!$D$11*(1-COS(D357))+Val!$D$14+Val!$D$13+Val!$D$12*((1-COS(Calc!E357)))+Val!$D$15</f>
        <v>0.001274452441464895</v>
      </c>
      <c r="J357" s="22">
        <f>Val!$D$11*((1-COS(Calc!$D357))+1/Val!$D$18*(1-(1-(Val!$D$18*SIN(Calc!$D357))^2)^0.5))+Val!$D$14+Val!$D$13+Val!$D$12*((1-COS(Calc!$E357))+1/Val!$D$19*(1-(1-(Val!$D$19*SIN(Calc!$E357))^2)^0.5))+Val!$D$15</f>
        <v>0.0013292719946603416</v>
      </c>
      <c r="K357" s="44">
        <f t="shared" si="91"/>
        <v>-5.4819553195446704E-05</v>
      </c>
      <c r="L357" s="50">
        <f>Val!$D$42*Val!$D$22/Val!$D$37/(1-Val!$D$39*COS(D357-Val!$D$40))</f>
        <v>96852.78968182024</v>
      </c>
      <c r="M357" s="50">
        <f>Val!$D$42*Val!$D$22/(Val!$D$11*((1-COS(Calc!D357))+1/Val!$D$18*(1-(1-(Val!$D$18*SIN(Calc!D357))^2)^0.5))/Val!$D$25+Val!$D$14/Val!$D$25+Val!$D$13/Val!$D$27+Val!$D$12*((1-COS(Calc!E357))+1/Val!$D$19*(1-(1-(Val!$D$19*SIN(Calc!E357))^2)^0.5))/Val!$D$26+Val!$D$15/Val!$D$26)</f>
        <v>91600.7677055413</v>
      </c>
      <c r="N357" s="16">
        <f t="shared" si="96"/>
        <v>-0.9528651343962824</v>
      </c>
      <c r="O357" s="16">
        <f t="shared" si="97"/>
        <v>-0.9003512675053522</v>
      </c>
      <c r="P357" s="16">
        <f t="shared" si="98"/>
        <v>9.790918955103066E-06</v>
      </c>
      <c r="Q357" s="16">
        <f t="shared" si="99"/>
        <v>9.785160927208302E-06</v>
      </c>
      <c r="R357" s="13">
        <f t="shared" si="92"/>
        <v>0.5177288901586825</v>
      </c>
      <c r="S357" s="13">
        <f t="shared" si="93"/>
        <v>0.5399985845870212</v>
      </c>
      <c r="T357" s="13">
        <f t="shared" si="94"/>
        <v>0.5714695244527117</v>
      </c>
      <c r="U357" s="13">
        <f t="shared" si="95"/>
        <v>0.540480530629618</v>
      </c>
      <c r="W357" s="387">
        <f>1*(M357-Val!$D$28)*PI()/4*Val!$D$2^2*(SIN(D357)+Val!$D$18/2*SIN(2*D357)/(1-Val!$D$18^2*SIN(D357)^2)^0.5)*Val!$D$4*(D357-D356)+1*(M357-Val!$D$28)*PI()/4*Val!$D$3^2*(SIN(E357)+Val!$D$19/2*SIN(2*E357)/(1-Val!$D$19^2*SIN(E357)^2)^0.5)*Val!$D$5*(E357-E356)</f>
        <v>0.09553868424522072</v>
      </c>
    </row>
    <row r="358" spans="2:23" ht="13.5">
      <c r="B358" s="32">
        <v>353</v>
      </c>
      <c r="C358" s="32">
        <f>B358-Data!$D$10</f>
        <v>263</v>
      </c>
      <c r="D358" s="30">
        <f aca="true" t="shared" si="100" ref="D358:D365">PI()/180*B358</f>
        <v>6.161012259539984</v>
      </c>
      <c r="E358" s="30">
        <f aca="true" t="shared" si="101" ref="E358:E365">PI()/180*C358</f>
        <v>4.590215932745087</v>
      </c>
      <c r="F358" s="26">
        <f>Val!$D$11*(1-COS(D358))+Val!$D$12*(1-COS(E358))</f>
        <v>0.0005646615225097918</v>
      </c>
      <c r="G358" s="26">
        <f>Val!$D$11*((1-COS(Calc!D358))+1/Val!$D$18*(1-(1-(Val!$D$18*SIN(Calc!D358))^2)^0.5))+Val!$D$12*((1-COS(Calc!E358))+1/Val!$D$19*(1-(1-(Val!$D$19*SIN(Calc!E358))^2)^0.5))</f>
        <v>0.0006194868337331331</v>
      </c>
      <c r="H358" s="26">
        <f aca="true" t="shared" si="102" ref="H358:H365">F358-G358</f>
        <v>-5.482531122334136E-05</v>
      </c>
      <c r="I358" s="22">
        <f>Val!$D$11*(1-COS(D358))+Val!$D$14+Val!$D$13+Val!$D$12*((1-COS(Calc!E358)))+Val!$D$15</f>
        <v>0.0012646615225097918</v>
      </c>
      <c r="J358" s="22">
        <f>Val!$D$11*((1-COS(Calc!$D358))+1/Val!$D$18*(1-(1-(Val!$D$18*SIN(Calc!$D358))^2)^0.5))+Val!$D$14+Val!$D$13+Val!$D$12*((1-COS(Calc!$E358))+1/Val!$D$19*(1-(1-(Val!$D$19*SIN(Calc!$E358))^2)^0.5))+Val!$D$15</f>
        <v>0.001319486833733133</v>
      </c>
      <c r="K358" s="44">
        <f aca="true" t="shared" si="103" ref="K358:K365">I358-J358</f>
        <v>-5.482531122334125E-05</v>
      </c>
      <c r="L358" s="50">
        <f>Val!$D$42*Val!$D$22/Val!$D$37/(1-Val!$D$39*COS(D358-Val!$D$40))</f>
        <v>97789.84575734552</v>
      </c>
      <c r="M358" s="50">
        <f>Val!$D$42*Val!$D$22/(Val!$D$11*((1-COS(Calc!D358))+1/Val!$D$18*(1-(1-(Val!$D$18*SIN(Calc!D358))^2)^0.5))/Val!$D$25+Val!$D$14/Val!$D$25+Val!$D$13/Val!$D$27+Val!$D$12*((1-COS(Calc!E358))+1/Val!$D$19*(1-(1-(Val!$D$19*SIN(Calc!E358))^2)^0.5))/Val!$D$26+Val!$D$15/Val!$D$26)</f>
        <v>92423.03613438016</v>
      </c>
      <c r="N358" s="16">
        <f t="shared" si="96"/>
        <v>-0.949080860288955</v>
      </c>
      <c r="O358" s="16">
        <f t="shared" si="97"/>
        <v>-0.8962188705554358</v>
      </c>
      <c r="P358" s="16">
        <f t="shared" si="98"/>
        <v>9.658310677221641E-06</v>
      </c>
      <c r="Q358" s="16">
        <f t="shared" si="99"/>
        <v>9.653262340715324E-06</v>
      </c>
      <c r="R358" s="13">
        <f aca="true" t="shared" si="104" ref="R358:R365">I358/$J$366</f>
        <v>0.513751463116813</v>
      </c>
      <c r="S358" s="13">
        <f aca="true" t="shared" si="105" ref="S358:S365">J358/$J$366</f>
        <v>0.5360234966653058</v>
      </c>
      <c r="T358" s="13">
        <f aca="true" t="shared" si="106" ref="T358:T365">L358/$M$366</f>
        <v>0.5769985235824753</v>
      </c>
      <c r="U358" s="13">
        <f aca="true" t="shared" si="107" ref="U358:U365">M358/$M$366</f>
        <v>0.5453322375297986</v>
      </c>
      <c r="W358" s="387">
        <f>1*(M358-Val!$D$28)*PI()/4*Val!$D$2^2*(SIN(D358)+Val!$D$18/2*SIN(2*D358)/(1-Val!$D$18^2*SIN(D358)^2)^0.5)*Val!$D$4*(D358-D357)+1*(M358-Val!$D$28)*PI()/4*Val!$D$3^2*(SIN(E358)+Val!$D$19/2*SIN(2*E358)/(1-Val!$D$19^2*SIN(E358)^2)^0.5)*Val!$D$5*(E358-E357)</f>
        <v>0.0862814343161197</v>
      </c>
    </row>
    <row r="359" spans="2:23" ht="13.5">
      <c r="B359" s="32">
        <v>354</v>
      </c>
      <c r="C359" s="32">
        <f>B359-Data!$D$10</f>
        <v>264</v>
      </c>
      <c r="D359" s="30">
        <f t="shared" si="100"/>
        <v>6.178465552059927</v>
      </c>
      <c r="E359" s="30">
        <f t="shared" si="101"/>
        <v>4.60766922526503</v>
      </c>
      <c r="F359" s="26">
        <f>Val!$D$11*(1-COS(D359))+Val!$D$12*(1-COS(E359))</f>
        <v>0.0005550032118325701</v>
      </c>
      <c r="G359" s="26">
        <f>Val!$D$11*((1-COS(Calc!D359))+1/Val!$D$18*(1-(1-(Val!$D$18*SIN(Calc!D359))^2)^0.5))+Val!$D$12*((1-COS(Calc!E359))+1/Val!$D$19*(1-(1-(Val!$D$19*SIN(Calc!E359))^2)^0.5))</f>
        <v>0.0006098335713924178</v>
      </c>
      <c r="H359" s="26">
        <f t="shared" si="102"/>
        <v>-5.483035955984768E-05</v>
      </c>
      <c r="I359" s="22">
        <f>Val!$D$11*(1-COS(D359))+Val!$D$14+Val!$D$13+Val!$D$12*((1-COS(Calc!E359)))+Val!$D$15</f>
        <v>0.0012550032118325701</v>
      </c>
      <c r="J359" s="22">
        <f>Val!$D$11*((1-COS(Calc!$D359))+1/Val!$D$18*(1-(1-(Val!$D$18*SIN(Calc!$D359))^2)^0.5))+Val!$D$14+Val!$D$13+Val!$D$12*((1-COS(Calc!$E359))+1/Val!$D$19*(1-(1-(Val!$D$19*SIN(Calc!$E359))^2)^0.5))+Val!$D$15</f>
        <v>0.0013098335713924178</v>
      </c>
      <c r="K359" s="44">
        <f t="shared" si="103"/>
        <v>-5.483035955984768E-05</v>
      </c>
      <c r="L359" s="50">
        <f>Val!$D$42*Val!$D$22/Val!$D$37/(1-Val!$D$39*COS(D359-Val!$D$40))</f>
        <v>98741.59581810242</v>
      </c>
      <c r="M359" s="50">
        <f>Val!$D$42*Val!$D$22/(Val!$D$11*((1-COS(Calc!D359))+1/Val!$D$18*(1-(1-(Val!$D$18*SIN(Calc!D359))^2)^0.5))/Val!$D$25+Val!$D$14/Val!$D$25+Val!$D$13/Val!$D$27+Val!$D$12*((1-COS(Calc!E359))+1/Val!$D$19*(1-(1-(Val!$D$19*SIN(Calc!E359))^2)^0.5))/Val!$D$26+Val!$D$15/Val!$D$26)</f>
        <v>93259.03463570405</v>
      </c>
      <c r="N359" s="16">
        <f t="shared" si="96"/>
        <v>-0.9448943034116231</v>
      </c>
      <c r="O359" s="16">
        <f t="shared" si="97"/>
        <v>-0.891725625316473</v>
      </c>
      <c r="P359" s="16">
        <f t="shared" si="98"/>
        <v>9.52276038434618E-06</v>
      </c>
      <c r="Q359" s="16">
        <f t="shared" si="99"/>
        <v>9.51844634619278E-06</v>
      </c>
      <c r="R359" s="13">
        <f t="shared" si="104"/>
        <v>0.5098279063758662</v>
      </c>
      <c r="S359" s="13">
        <f t="shared" si="105"/>
        <v>0.5321019907420841</v>
      </c>
      <c r="T359" s="13">
        <f t="shared" si="106"/>
        <v>0.5826142230001728</v>
      </c>
      <c r="U359" s="13">
        <f t="shared" si="107"/>
        <v>0.5502649572538688</v>
      </c>
      <c r="W359" s="387">
        <f>1*(M359-Val!$D$28)*PI()/4*Val!$D$2^2*(SIN(D359)+Val!$D$18/2*SIN(2*D359)/(1-Val!$D$18^2*SIN(D359)^2)^0.5)*Val!$D$4*(D359-D358)+1*(M359-Val!$D$28)*PI()/4*Val!$D$3^2*(SIN(E359)+Val!$D$19/2*SIN(2*E359)/(1-Val!$D$19^2*SIN(E359)^2)^0.5)*Val!$D$5*(E359-E358)</f>
        <v>0.0770834074982383</v>
      </c>
    </row>
    <row r="360" spans="2:23" ht="13.5">
      <c r="B360" s="32">
        <v>355</v>
      </c>
      <c r="C360" s="32">
        <f>B360-Data!$D$10</f>
        <v>265</v>
      </c>
      <c r="D360" s="30">
        <f t="shared" si="100"/>
        <v>6.19591884457987</v>
      </c>
      <c r="E360" s="30">
        <f t="shared" si="101"/>
        <v>4.625122517784973</v>
      </c>
      <c r="F360" s="26">
        <f>Val!$D$11*(1-COS(D360))+Val!$D$12*(1-COS(E360))</f>
        <v>0.000545480451448224</v>
      </c>
      <c r="G360" s="26">
        <f>Val!$D$11*((1-COS(Calc!D360))+1/Val!$D$18*(1-(1-(Val!$D$18*SIN(Calc!D360))^2)^0.5))+Val!$D$12*((1-COS(Calc!E360))+1/Val!$D$19*(1-(1-(Val!$D$19*SIN(Calc!E360))^2)^0.5))</f>
        <v>0.000600315125046225</v>
      </c>
      <c r="H360" s="26">
        <f t="shared" si="102"/>
        <v>-5.483467359800108E-05</v>
      </c>
      <c r="I360" s="22">
        <f>Val!$D$11*(1-COS(D360))+Val!$D$14+Val!$D$13+Val!$D$12*((1-COS(Calc!E360)))+Val!$D$15</f>
        <v>0.0012454804514482238</v>
      </c>
      <c r="J360" s="22">
        <f>Val!$D$11*((1-COS(Calc!$D360))+1/Val!$D$18*(1-(1-(Val!$D$18*SIN(Calc!$D360))^2)^0.5))+Val!$D$14+Val!$D$13+Val!$D$12*((1-COS(Calc!$E360))+1/Val!$D$19*(1-(1-(Val!$D$19*SIN(Calc!$E360))^2)^0.5))+Val!$D$15</f>
        <v>0.0013003151250462251</v>
      </c>
      <c r="K360" s="44">
        <f t="shared" si="103"/>
        <v>-5.4834673598001295E-05</v>
      </c>
      <c r="L360" s="50">
        <f>Val!$D$42*Val!$D$22/Val!$D$37/(1-Val!$D$39*COS(D360-Val!$D$40))</f>
        <v>99708.0690426999</v>
      </c>
      <c r="M360" s="50">
        <f>Val!$D$42*Val!$D$22/(Val!$D$11*((1-COS(Calc!D360))+1/Val!$D$18*(1-(1-(Val!$D$18*SIN(Calc!D360))^2)^0.5))/Val!$D$25+Val!$D$14/Val!$D$25+Val!$D$13/Val!$D$27+Val!$D$12*((1-COS(Calc!E360))+1/Val!$D$19*(1-(1-(Val!$D$19*SIN(Calc!E360))^2)^0.5))/Val!$D$26+Val!$D$15/Val!$D$26)</f>
        <v>94108.85984702496</v>
      </c>
      <c r="N360" s="16">
        <f t="shared" si="96"/>
        <v>-0.9402953684466866</v>
      </c>
      <c r="O360" s="16">
        <f t="shared" si="97"/>
        <v>-0.8868630142550052</v>
      </c>
      <c r="P360" s="16">
        <f t="shared" si="98"/>
        <v>9.384309366408444E-06</v>
      </c>
      <c r="Q360" s="16">
        <f t="shared" si="99"/>
        <v>9.380750654725358E-06</v>
      </c>
      <c r="R360" s="13">
        <f t="shared" si="104"/>
        <v>0.5059594150892335</v>
      </c>
      <c r="S360" s="13">
        <f t="shared" si="105"/>
        <v>0.528235251974504</v>
      </c>
      <c r="T360" s="13">
        <f t="shared" si="106"/>
        <v>0.5883167948710653</v>
      </c>
      <c r="U360" s="13">
        <f t="shared" si="107"/>
        <v>0.5552792600011303</v>
      </c>
      <c r="W360" s="387">
        <f>1*(M360-Val!$D$28)*PI()/4*Val!$D$2^2*(SIN(D360)+Val!$D$18/2*SIN(2*D360)/(1-Val!$D$18^2*SIN(D360)^2)^0.5)*Val!$D$4*(D360-D359)+1*(M360-Val!$D$28)*PI()/4*Val!$D$3^2*(SIN(E360)+Val!$D$19/2*SIN(2*E360)/(1-Val!$D$19^2*SIN(E360)^2)^0.5)*Val!$D$5*(E360-E359)</f>
        <v>0.0679568157112021</v>
      </c>
    </row>
    <row r="361" spans="2:23" ht="13.5">
      <c r="B361" s="32">
        <v>356</v>
      </c>
      <c r="C361" s="32">
        <f>B361-Data!$D$10</f>
        <v>266</v>
      </c>
      <c r="D361" s="30">
        <f t="shared" si="100"/>
        <v>6.213372137099813</v>
      </c>
      <c r="E361" s="30">
        <f t="shared" si="101"/>
        <v>4.642575810304916</v>
      </c>
      <c r="F361" s="26">
        <f>Val!$D$11*(1-COS(D361))+Val!$D$12*(1-COS(E361))</f>
        <v>0.0005360961420818155</v>
      </c>
      <c r="G361" s="26">
        <f>Val!$D$11*((1-COS(Calc!D361))+1/Val!$D$18*(1-(1-(Val!$D$18*SIN(Calc!D361))^2)^0.5))+Val!$D$12*((1-COS(Calc!E361))+1/Val!$D$19*(1-(1-(Val!$D$19*SIN(Calc!E361))^2)^0.5))</f>
        <v>0.0005909343743914997</v>
      </c>
      <c r="H361" s="26">
        <f t="shared" si="102"/>
        <v>-5.4838232309684164E-05</v>
      </c>
      <c r="I361" s="22">
        <f>Val!$D$11*(1-COS(D361))+Val!$D$14+Val!$D$13+Val!$D$12*((1-COS(Calc!E361)))+Val!$D$15</f>
        <v>0.0012360961420818156</v>
      </c>
      <c r="J361" s="22">
        <f>Val!$D$11*((1-COS(Calc!$D361))+1/Val!$D$18*(1-(1-(Val!$D$18*SIN(Calc!$D361))^2)^0.5))+Val!$D$14+Val!$D$13+Val!$D$12*((1-COS(Calc!$E361))+1/Val!$D$19*(1-(1-(Val!$D$19*SIN(Calc!$E361))^2)^0.5))+Val!$D$15</f>
        <v>0.0012909343743914994</v>
      </c>
      <c r="K361" s="44">
        <f t="shared" si="103"/>
        <v>-5.483823230968384E-05</v>
      </c>
      <c r="L361" s="50">
        <f>Val!$D$42*Val!$D$22/Val!$D$37/(1-Val!$D$39*COS(D361-Val!$D$40))</f>
        <v>100689.28184015519</v>
      </c>
      <c r="M361" s="50">
        <f>Val!$D$42*Val!$D$22/(Val!$D$11*((1-COS(Calc!D361))+1/Val!$D$18*(1-(1-(Val!$D$18*SIN(Calc!D361))^2)^0.5))/Val!$D$25+Val!$D$14/Val!$D$25+Val!$D$13/Val!$D$27+Val!$D$12*((1-COS(Calc!E361))+1/Val!$D$19*(1-(1-(Val!$D$19*SIN(Calc!E361))^2)^0.5))/Val!$D$26+Val!$D$15/Val!$D$26)</f>
        <v>94972.60002702802</v>
      </c>
      <c r="N361" s="16">
        <f t="shared" si="96"/>
        <v>-0.9352738178653381</v>
      </c>
      <c r="O361" s="16">
        <f t="shared" si="97"/>
        <v>-0.8816223513997973</v>
      </c>
      <c r="P361" s="16">
        <f t="shared" si="98"/>
        <v>9.242999796929942E-06</v>
      </c>
      <c r="Q361" s="16">
        <f t="shared" si="99"/>
        <v>9.24021375833643E-06</v>
      </c>
      <c r="R361" s="13">
        <f t="shared" si="104"/>
        <v>0.502147167636836</v>
      </c>
      <c r="S361" s="13">
        <f t="shared" si="105"/>
        <v>0.5244244502001012</v>
      </c>
      <c r="T361" s="13">
        <f t="shared" si="106"/>
        <v>0.5941063360148031</v>
      </c>
      <c r="U361" s="13">
        <f t="shared" si="107"/>
        <v>0.5603756665325128</v>
      </c>
      <c r="W361" s="387">
        <f>1*(M361-Val!$D$28)*PI()/4*Val!$D$2^2*(SIN(D361)+Val!$D$18/2*SIN(2*D361)/(1-Val!$D$18^2*SIN(D361)^2)^0.5)*Val!$D$4*(D361-D360)+1*(M361-Val!$D$28)*PI()/4*Val!$D$3^2*(SIN(E361)+Val!$D$19/2*SIN(2*E361)/(1-Val!$D$19^2*SIN(E361)^2)^0.5)*Val!$D$5*(E361-E360)</f>
        <v>0.05891412055761505</v>
      </c>
    </row>
    <row r="362" spans="2:23" ht="13.5">
      <c r="B362" s="32">
        <v>357</v>
      </c>
      <c r="C362" s="32">
        <f>B362-Data!$D$10</f>
        <v>267</v>
      </c>
      <c r="D362" s="30">
        <f t="shared" si="100"/>
        <v>6.230825429619756</v>
      </c>
      <c r="E362" s="30">
        <f t="shared" si="101"/>
        <v>4.6600291028248595</v>
      </c>
      <c r="F362" s="26">
        <f>Val!$D$11*(1-COS(D362))+Val!$D$12*(1-COS(E362))</f>
        <v>0.0005268531422848856</v>
      </c>
      <c r="G362" s="26">
        <f>Val!$D$11*((1-COS(Calc!D362))+1/Val!$D$18*(1-(1-(Val!$D$18*SIN(Calc!D362))^2)^0.5))+Val!$D$12*((1-COS(Calc!E362))+1/Val!$D$19*(1-(1-(Val!$D$19*SIN(Calc!E362))^2)^0.5))</f>
        <v>0.0005816941606331632</v>
      </c>
      <c r="H362" s="26">
        <f t="shared" si="102"/>
        <v>-5.4841018348277676E-05</v>
      </c>
      <c r="I362" s="22">
        <f>Val!$D$11*(1-COS(D362))+Val!$D$14+Val!$D$13+Val!$D$12*((1-COS(Calc!E362)))+Val!$D$15</f>
        <v>0.0012268531422848855</v>
      </c>
      <c r="J362" s="22">
        <f>Val!$D$11*((1-COS(Calc!$D362))+1/Val!$D$18*(1-(1-(Val!$D$18*SIN(Calc!$D362))^2)^0.5))+Val!$D$14+Val!$D$13+Val!$D$12*((1-COS(Calc!$E362))+1/Val!$D$19*(1-(1-(Val!$D$19*SIN(Calc!$E362))^2)^0.5))+Val!$D$15</f>
        <v>0.0012816941606331631</v>
      </c>
      <c r="K362" s="44">
        <f t="shared" si="103"/>
        <v>-5.4841018348277676E-05</v>
      </c>
      <c r="L362" s="50">
        <f>Val!$D$42*Val!$D$22/Val!$D$37/(1-Val!$D$39*COS(D362-Val!$D$40))</f>
        <v>101685.23691207217</v>
      </c>
      <c r="M362" s="50">
        <f>Val!$D$42*Val!$D$22/(Val!$D$11*((1-COS(Calc!D362))+1/Val!$D$18*(1-(1-(Val!$D$18*SIN(Calc!D362))^2)^0.5))/Val!$D$25+Val!$D$14/Val!$D$25+Val!$D$13/Val!$D$27+Val!$D$12*((1-COS(Calc!E362))+1/Val!$D$19*(1-(1-(Val!$D$19*SIN(Calc!E362))^2)^0.5))/Val!$D$26+Val!$D$15/Val!$D$26)</f>
        <v>95850.33425940372</v>
      </c>
      <c r="N362" s="16">
        <f t="shared" si="96"/>
        <v>-0.9298192813026271</v>
      </c>
      <c r="O362" s="16">
        <f t="shared" si="97"/>
        <v>-0.8759947877452393</v>
      </c>
      <c r="P362" s="16">
        <f t="shared" si="98"/>
        <v>9.098874720175009E-06</v>
      </c>
      <c r="Q362" s="16">
        <f t="shared" si="99"/>
        <v>9.096874935106023E-06</v>
      </c>
      <c r="R362" s="13">
        <f t="shared" si="104"/>
        <v>0.4983923252661775</v>
      </c>
      <c r="S362" s="13">
        <f t="shared" si="105"/>
        <v>0.5206707396195528</v>
      </c>
      <c r="T362" s="13">
        <f t="shared" si="106"/>
        <v>0.5999828623719111</v>
      </c>
      <c r="U362" s="13">
        <f t="shared" si="107"/>
        <v>0.5655546434728721</v>
      </c>
      <c r="W362" s="387">
        <f>1*(M362-Val!$D$28)*PI()/4*Val!$D$2^2*(SIN(D362)+Val!$D$18/2*SIN(2*D362)/(1-Val!$D$18^2*SIN(D362)^2)^0.5)*Val!$D$4*(D362-D361)+1*(M362-Val!$D$28)*PI()/4*Val!$D$3^2*(SIN(E362)+Val!$D$19/2*SIN(2*E362)/(1-Val!$D$19^2*SIN(E362)^2)^0.5)*Val!$D$5*(E362-E361)</f>
        <v>0.04996802889207485</v>
      </c>
    </row>
    <row r="363" spans="2:23" ht="13.5">
      <c r="B363" s="32">
        <v>358</v>
      </c>
      <c r="C363" s="32">
        <f>B363-Data!$D$10</f>
        <v>268</v>
      </c>
      <c r="D363" s="30">
        <f t="shared" si="100"/>
        <v>6.2482787221397</v>
      </c>
      <c r="E363" s="30">
        <f t="shared" si="101"/>
        <v>4.6774823953448035</v>
      </c>
      <c r="F363" s="26">
        <f>Val!$D$11*(1-COS(D363))+Val!$D$12*(1-COS(E363))</f>
        <v>0.0005177542675647106</v>
      </c>
      <c r="G363" s="26">
        <f>Val!$D$11*((1-COS(Calc!D363))+1/Val!$D$18*(1-(1-(Val!$D$18*SIN(Calc!D363))^2)^0.5))+Val!$D$12*((1-COS(Calc!E363))+1/Val!$D$19*(1-(1-(Val!$D$19*SIN(Calc!E363))^2)^0.5))</f>
        <v>0.0005725972856980572</v>
      </c>
      <c r="H363" s="26">
        <f t="shared" si="102"/>
        <v>-5.484301813334666E-05</v>
      </c>
      <c r="I363" s="22">
        <f>Val!$D$11*(1-COS(D363))+Val!$D$14+Val!$D$13+Val!$D$12*((1-COS(Calc!E363)))+Val!$D$15</f>
        <v>0.0012177542675647103</v>
      </c>
      <c r="J363" s="22">
        <f>Val!$D$11*((1-COS(Calc!$D363))+1/Val!$D$18*(1-(1-(Val!$D$18*SIN(Calc!$D363))^2)^0.5))+Val!$D$14+Val!$D$13+Val!$D$12*((1-COS(Calc!$E363))+1/Val!$D$19*(1-(1-(Val!$D$19*SIN(Calc!$E363))^2)^0.5))+Val!$D$15</f>
        <v>0.0012725972856980573</v>
      </c>
      <c r="K363" s="44">
        <f t="shared" si="103"/>
        <v>-5.4843018133346987E-05</v>
      </c>
      <c r="L363" s="50">
        <f>Val!$D$42*Val!$D$22/Val!$D$37/(1-Val!$D$39*COS(D363-Val!$D$40))</f>
        <v>102695.92227477106</v>
      </c>
      <c r="M363" s="50">
        <f>Val!$D$42*Val!$D$22/(Val!$D$11*((1-COS(Calc!D363))+1/Val!$D$18*(1-(1-(Val!$D$18*SIN(Calc!D363))^2)^0.5))/Val!$D$25+Val!$D$14/Val!$D$25+Val!$D$13/Val!$D$27+Val!$D$12*((1-COS(Calc!E363))+1/Val!$D$19*(1-(1-(Val!$D$19*SIN(Calc!E363))^2)^0.5))/Val!$D$26+Val!$D$15/Val!$D$26)</f>
        <v>96742.13161361437</v>
      </c>
      <c r="N363" s="16">
        <f t="shared" si="96"/>
        <v>-0.9239212660777806</v>
      </c>
      <c r="O363" s="16">
        <f t="shared" si="97"/>
        <v>-0.8699713176219298</v>
      </c>
      <c r="P363" s="16">
        <f t="shared" si="98"/>
        <v>8.95197803803629E-06</v>
      </c>
      <c r="Q363" s="16">
        <f t="shared" si="99"/>
        <v>8.950774254442326E-06</v>
      </c>
      <c r="R363" s="13">
        <f t="shared" si="104"/>
        <v>0.4946960317386179</v>
      </c>
      <c r="S363" s="13">
        <f t="shared" si="105"/>
        <v>0.5169752584773525</v>
      </c>
      <c r="T363" s="13">
        <f t="shared" si="106"/>
        <v>0.6059463032339689</v>
      </c>
      <c r="U363" s="13">
        <f t="shared" si="107"/>
        <v>0.5708165983591814</v>
      </c>
      <c r="W363" s="387">
        <f>1*(M363-Val!$D$28)*PI()/4*Val!$D$2^2*(SIN(D363)+Val!$D$18/2*SIN(2*D363)/(1-Val!$D$18^2*SIN(D363)^2)^0.5)*Val!$D$4*(D363-D362)+1*(M363-Val!$D$28)*PI()/4*Val!$D$3^2*(SIN(E363)+Val!$D$19/2*SIN(2*E363)/(1-Val!$D$19^2*SIN(E363)^2)^0.5)*Val!$D$5*(E363-E362)</f>
        <v>0.04113148747485022</v>
      </c>
    </row>
    <row r="364" spans="2:23" ht="13.5">
      <c r="B364" s="32">
        <v>359</v>
      </c>
      <c r="C364" s="32">
        <f>B364-Data!$D$10</f>
        <v>269</v>
      </c>
      <c r="D364" s="30">
        <f t="shared" si="100"/>
        <v>6.265732014659643</v>
      </c>
      <c r="E364" s="30">
        <f t="shared" si="101"/>
        <v>4.694935687864747</v>
      </c>
      <c r="F364" s="26">
        <f>Val!$D$11*(1-COS(D364))+Val!$D$12*(1-COS(E364))</f>
        <v>0.0005088022895266743</v>
      </c>
      <c r="G364" s="26">
        <f>Val!$D$11*((1-COS(Calc!D364))+1/Val!$D$18*(1-(1-(Val!$D$18*SIN(Calc!D364))^2)^0.5))+Val!$D$12*((1-COS(Calc!E364))+1/Val!$D$19*(1-(1-(Val!$D$19*SIN(Calc!E364))^2)^0.5))</f>
        <v>0.0005636465114436149</v>
      </c>
      <c r="H364" s="26">
        <f t="shared" si="102"/>
        <v>-5.4844221916940626E-05</v>
      </c>
      <c r="I364" s="22">
        <f>Val!$D$11*(1-COS(D364))+Val!$D$14+Val!$D$13+Val!$D$12*((1-COS(Calc!E364)))+Val!$D$15</f>
        <v>0.0012088022895266743</v>
      </c>
      <c r="J364" s="22">
        <f>Val!$D$11*((1-COS(Calc!$D364))+1/Val!$D$18*(1-(1-(Val!$D$18*SIN(Calc!$D364))^2)^0.5))+Val!$D$14+Val!$D$13+Val!$D$12*((1-COS(Calc!$E364))+1/Val!$D$19*(1-(1-(Val!$D$19*SIN(Calc!$E364))^2)^0.5))+Val!$D$15</f>
        <v>0.0012636465114436149</v>
      </c>
      <c r="K364" s="44">
        <f t="shared" si="103"/>
        <v>-5.4844221916940626E-05</v>
      </c>
      <c r="L364" s="50">
        <f>Val!$D$42*Val!$D$22/Val!$D$37/(1-Val!$D$39*COS(D364-Val!$D$40))</f>
        <v>103721.31024124497</v>
      </c>
      <c r="M364" s="50">
        <f>Val!$D$42*Val!$D$22/(Val!$D$11*((1-COS(Calc!D364))+1/Val!$D$18*(1-(1-(Val!$D$18*SIN(Calc!D364))^2)^0.5))/Val!$D$25+Val!$D$14/Val!$D$25+Val!$D$13/Val!$D$27+Val!$D$12*((1-COS(Calc!E364))+1/Val!$D$19*(1-(1-(Val!$D$19*SIN(Calc!E364))^2)^0.5))/Val!$D$26+Val!$D$15/Val!$D$26)</f>
        <v>97648.0502614669</v>
      </c>
      <c r="N364" s="16">
        <f t="shared" si="96"/>
        <v>-0.9175691689307117</v>
      </c>
      <c r="O364" s="16">
        <f t="shared" si="97"/>
        <v>-0.8635427861022386</v>
      </c>
      <c r="P364" s="16">
        <f t="shared" si="98"/>
        <v>8.802354496668051E-06</v>
      </c>
      <c r="Q364" s="16">
        <f t="shared" si="99"/>
        <v>8.80195258242105E-06</v>
      </c>
      <c r="R364" s="13">
        <f t="shared" si="104"/>
        <v>0.4910594129809733</v>
      </c>
      <c r="S364" s="13">
        <f t="shared" si="105"/>
        <v>0.5133391287403442</v>
      </c>
      <c r="T364" s="13">
        <f t="shared" si="106"/>
        <v>0.611996495236754</v>
      </c>
      <c r="U364" s="13">
        <f t="shared" si="107"/>
        <v>0.5761618744279646</v>
      </c>
      <c r="W364" s="387">
        <f>1*(M364-Val!$D$28)*PI()/4*Val!$D$2^2*(SIN(D364)+Val!$D$18/2*SIN(2*D364)/(1-Val!$D$18^2*SIN(D364)^2)^0.5)*Val!$D$4*(D364-D363)+1*(M364-Val!$D$28)*PI()/4*Val!$D$3^2*(SIN(E364)+Val!$D$19/2*SIN(2*E364)/(1-Val!$D$19^2*SIN(E364)^2)^0.5)*Val!$D$5*(E364-E363)</f>
        <v>0.03241767663615631</v>
      </c>
    </row>
    <row r="365" spans="2:24" ht="14.25" thickBot="1">
      <c r="B365" s="123">
        <v>360</v>
      </c>
      <c r="C365" s="123">
        <f>B365-Data!$D$10</f>
        <v>270</v>
      </c>
      <c r="D365" s="124">
        <f t="shared" si="100"/>
        <v>6.283185307179586</v>
      </c>
      <c r="E365" s="124">
        <f t="shared" si="101"/>
        <v>4.71238898038469</v>
      </c>
      <c r="F365" s="125">
        <f>Val!$D$11*(1-COS(D365))+Val!$D$12*(1-COS(E365))</f>
        <v>0.0004999999350300062</v>
      </c>
      <c r="G365" s="125">
        <f>Val!$D$11*((1-COS(Calc!D365))+1/Val!$D$18*(1-(1-(Val!$D$18*SIN(Calc!D365))^2)^0.5))+Val!$D$12*((1-COS(Calc!E365))+1/Val!$D$19*(1-(1-(Val!$D$19*SIN(Calc!E365))^2)^0.5))</f>
        <v>0.0005548445588611938</v>
      </c>
      <c r="H365" s="125">
        <f t="shared" si="102"/>
        <v>-5.484462383118763E-05</v>
      </c>
      <c r="I365" s="125">
        <f>Val!$D$11*(1-COS(D365))+Val!$D$14+Val!$D$13+Val!$D$12*((1-COS(Calc!E365)))+Val!$D$15</f>
        <v>0.001199999935030006</v>
      </c>
      <c r="J365" s="125">
        <f>Val!$D$11*((1-COS(Calc!$D365))+1/Val!$D$18*(1-(1-(Val!$D$18*SIN(Calc!$D365))^2)^0.5))+Val!$D$14+Val!$D$13+Val!$D$12*((1-COS(Calc!$E365))+1/Val!$D$19*(1-(1-(Val!$D$19*SIN(Calc!$E365))^2)^0.5))+Val!$D$15</f>
        <v>0.0012548445588611938</v>
      </c>
      <c r="K365" s="126">
        <f t="shared" si="103"/>
        <v>-5.4844623831187735E-05</v>
      </c>
      <c r="L365" s="227">
        <f>Val!$D$42*Val!$D$22/Val!$D$37/(1-Val!$D$39*COS(D365-Val!$D$40))</f>
        <v>104761.35636302034</v>
      </c>
      <c r="M365" s="227">
        <f>Val!$D$42*Val!$D$22/(Val!$D$11*((1-COS(Calc!D365))+1/Val!$D$18*(1-(1-(Val!$D$18*SIN(Calc!D365))^2)^0.5))/Val!$D$25+Val!$D$14/Val!$D$25+Val!$D$13/Val!$D$27+Val!$D$12*((1-COS(Calc!E365))+1/Val!$D$19*(1-(1-(Val!$D$19*SIN(Calc!E365))^2)^0.5))/Val!$D$26+Val!$D$15/Val!$D$26)</f>
        <v>98568.13654846339</v>
      </c>
      <c r="N365" s="391">
        <f t="shared" si="96"/>
        <v>169.94899543089477</v>
      </c>
      <c r="O365" s="391">
        <f t="shared" si="97"/>
        <v>161.73726480554507</v>
      </c>
      <c r="P365" s="391">
        <f t="shared" si="98"/>
        <v>-0.001207106624335107</v>
      </c>
      <c r="Q365" s="391">
        <f t="shared" si="99"/>
        <v>-0.0012067766983073574</v>
      </c>
      <c r="R365" s="124">
        <f t="shared" si="104"/>
        <v>0.48748357674254517</v>
      </c>
      <c r="S365" s="124">
        <f t="shared" si="105"/>
        <v>0.5097634557740872</v>
      </c>
      <c r="T365" s="124">
        <f t="shared" si="106"/>
        <v>0.6181331761168033</v>
      </c>
      <c r="U365" s="124">
        <f t="shared" si="107"/>
        <v>0.5815907451358988</v>
      </c>
      <c r="V365" s="311" t="s">
        <v>281</v>
      </c>
      <c r="W365" s="399">
        <f>1*(M365-Val!$D$28)*PI()/4*Val!$D$2^2*(SIN(D365)+Val!$D$18/2*SIN(2*D365)/(1-Val!$D$18^2*SIN(D365)^2)^0.5)*Val!$D$4*(D365-D364)+1*(M365-Val!$D$28)*PI()/4*Val!$D$3^2*(SIN(E365)+Val!$D$19/2*SIN(2*E365)/(1-Val!$D$19^2*SIN(E365)^2)^0.5)*Val!$D$5*(E365-E364)</f>
        <v>0.02384000287433488</v>
      </c>
      <c r="X365" s="400"/>
    </row>
    <row r="366" spans="1:24" ht="14.25" thickTop="1">
      <c r="A366" s="33" t="s">
        <v>81</v>
      </c>
      <c r="B366" s="52">
        <f aca="true" t="shared" si="108" ref="B366:M366">MAX(B5:B365)</f>
        <v>360</v>
      </c>
      <c r="C366" s="52">
        <f t="shared" si="108"/>
        <v>270</v>
      </c>
      <c r="D366" s="53">
        <f t="shared" si="108"/>
        <v>6.283185307179586</v>
      </c>
      <c r="E366" s="53">
        <f t="shared" si="108"/>
        <v>4.71238898038469</v>
      </c>
      <c r="F366" s="54">
        <f t="shared" si="108"/>
        <v>0.0017071065593651132</v>
      </c>
      <c r="G366" s="54">
        <f t="shared" si="108"/>
        <v>0.0017616212571685513</v>
      </c>
      <c r="H366" s="55">
        <f t="shared" si="108"/>
        <v>-5.4514697803437944E-05</v>
      </c>
      <c r="I366" s="56">
        <f t="shared" si="108"/>
        <v>0.002407106559365113</v>
      </c>
      <c r="J366" s="56">
        <f t="shared" si="108"/>
        <v>0.0024616212571685514</v>
      </c>
      <c r="K366" s="57">
        <f t="shared" si="108"/>
        <v>-5.4514697803437944E-05</v>
      </c>
      <c r="L366" s="135">
        <f t="shared" si="108"/>
        <v>176819.3955022183</v>
      </c>
      <c r="M366" s="136">
        <f t="shared" si="108"/>
        <v>169480.2356688658</v>
      </c>
      <c r="N366" s="222" t="s">
        <v>92</v>
      </c>
      <c r="O366" s="217" t="s">
        <v>92</v>
      </c>
      <c r="P366" s="130">
        <f>MAX(P5:P365)</f>
        <v>1.2340713336274605E-05</v>
      </c>
      <c r="Q366" s="54">
        <f>MAX(Q5:Q365)</f>
        <v>1.2341115105271366E-05</v>
      </c>
      <c r="R366" s="122"/>
      <c r="S366" s="122"/>
      <c r="T366" s="122"/>
      <c r="U366" s="122"/>
      <c r="W366" s="397" t="s">
        <v>292</v>
      </c>
      <c r="X366" s="398" t="s">
        <v>90</v>
      </c>
    </row>
    <row r="367" spans="1:24" ht="13.5">
      <c r="A367" s="33" t="s">
        <v>82</v>
      </c>
      <c r="B367" s="31">
        <f aca="true" t="shared" si="109" ref="B367:M367">MIN(B5:B365)</f>
        <v>0</v>
      </c>
      <c r="C367" s="31">
        <f t="shared" si="109"/>
        <v>-90</v>
      </c>
      <c r="D367" s="30">
        <f t="shared" si="109"/>
        <v>0</v>
      </c>
      <c r="E367" s="30">
        <f t="shared" si="109"/>
        <v>-1.5707963267948966</v>
      </c>
      <c r="F367" s="26">
        <f t="shared" si="109"/>
        <v>0.00029289318075491116</v>
      </c>
      <c r="G367" s="26">
        <f t="shared" si="109"/>
        <v>0.0003474078785583492</v>
      </c>
      <c r="H367" s="27">
        <f t="shared" si="109"/>
        <v>-5.4844623831187735E-05</v>
      </c>
      <c r="I367" s="22">
        <f t="shared" si="109"/>
        <v>0.0009928931807549112</v>
      </c>
      <c r="J367" s="22">
        <f t="shared" si="109"/>
        <v>0.001047407878558349</v>
      </c>
      <c r="K367" s="24">
        <f t="shared" si="109"/>
        <v>-5.484462383118817E-05</v>
      </c>
      <c r="L367" s="51">
        <f t="shared" si="109"/>
        <v>58034.74592753643</v>
      </c>
      <c r="M367" s="127">
        <f t="shared" si="109"/>
        <v>57189.199899202365</v>
      </c>
      <c r="N367" s="223">
        <f>SUM($N$5:$N$364)</f>
        <v>53.300148107617574</v>
      </c>
      <c r="O367" s="218">
        <f>SUM($O$5:$O$364)</f>
        <v>50.944678909300606</v>
      </c>
      <c r="P367" s="131">
        <f>MIN(P5:P365)</f>
        <v>-0.001207106624335107</v>
      </c>
      <c r="Q367" s="26">
        <f>MIN(Q5:Q365)</f>
        <v>-0.0012067766983073574</v>
      </c>
      <c r="R367" s="45"/>
      <c r="S367" s="45"/>
      <c r="T367" s="45"/>
      <c r="U367" s="45"/>
      <c r="W367" s="315">
        <f>SUM(W5:W364)</f>
        <v>50.94726721167809</v>
      </c>
      <c r="X367" s="361"/>
    </row>
    <row r="368" spans="1:24" ht="15">
      <c r="A368" s="33" t="s">
        <v>83</v>
      </c>
      <c r="B368" s="32">
        <f>(B366+B367)/2</f>
        <v>180</v>
      </c>
      <c r="C368" s="32">
        <f aca="true" t="shared" si="110" ref="C368:K368">(C366+C367)/2</f>
        <v>90</v>
      </c>
      <c r="D368" s="30">
        <f t="shared" si="110"/>
        <v>3.141592653589793</v>
      </c>
      <c r="E368" s="30">
        <f t="shared" si="110"/>
        <v>1.5707963267948966</v>
      </c>
      <c r="F368" s="26">
        <f t="shared" si="110"/>
        <v>0.0009999998700600122</v>
      </c>
      <c r="G368" s="26">
        <f t="shared" si="110"/>
        <v>0.0010545145678634502</v>
      </c>
      <c r="H368" s="27">
        <f t="shared" si="110"/>
        <v>-5.467966081731284E-05</v>
      </c>
      <c r="I368" s="22">
        <f t="shared" si="110"/>
        <v>0.001699999870060012</v>
      </c>
      <c r="J368" s="22">
        <f t="shared" si="110"/>
        <v>0.0017545145678634503</v>
      </c>
      <c r="K368" s="24">
        <f t="shared" si="110"/>
        <v>-5.4679660817313056E-05</v>
      </c>
      <c r="L368" s="322"/>
      <c r="M368" s="323"/>
      <c r="N368" s="224" t="s">
        <v>89</v>
      </c>
      <c r="O368" s="219" t="s">
        <v>89</v>
      </c>
      <c r="P368" s="131">
        <f>(P366+P367)/2</f>
        <v>-0.0005973829554994162</v>
      </c>
      <c r="Q368" s="26">
        <f>(Q366+Q367)/2</f>
        <v>-0.000597217791601043</v>
      </c>
      <c r="R368" s="45"/>
      <c r="S368" s="45"/>
      <c r="T368" s="45"/>
      <c r="U368" s="45"/>
      <c r="W368" s="313" t="s">
        <v>293</v>
      </c>
      <c r="X368" s="451" t="s">
        <v>291</v>
      </c>
    </row>
    <row r="369" spans="2:24" ht="13.5">
      <c r="B369" s="45"/>
      <c r="C369" s="45"/>
      <c r="D369" s="45"/>
      <c r="E369" s="45"/>
      <c r="F369" s="46"/>
      <c r="G369" s="28">
        <f>F366-G366</f>
        <v>-5.451469780343816E-05</v>
      </c>
      <c r="H369" s="29"/>
      <c r="I369" s="23"/>
      <c r="J369" s="80">
        <f>I366-J366</f>
        <v>-5.4514697803438594E-05</v>
      </c>
      <c r="K369" s="25"/>
      <c r="L369" s="14"/>
      <c r="M369" s="128">
        <f>L366-M366</f>
        <v>7339.159833352518</v>
      </c>
      <c r="N369" s="225">
        <f>Val!$D$17*SUM($N$5:$N$364)/2/PI()</f>
        <v>1776.6716035872525</v>
      </c>
      <c r="O369" s="220">
        <f>Val!$D$17*SUM($O$5:$O$364)/2/PI()</f>
        <v>1698.1559636433535</v>
      </c>
      <c r="P369" s="71">
        <f>SUM(P5:P365)</f>
        <v>-0.0012071066243351072</v>
      </c>
      <c r="Q369" s="71">
        <f>SUM(Q5:Q365)</f>
        <v>-0.0012067766983073578</v>
      </c>
      <c r="R369" s="45"/>
      <c r="S369" s="45"/>
      <c r="T369" s="45"/>
      <c r="U369" s="45"/>
      <c r="W369" s="316">
        <f>W367*Val!D17/2/PI()</f>
        <v>1698.2422403892695</v>
      </c>
      <c r="X369" s="454">
        <f>W369/Val!$D$17</f>
        <v>8.108509413762212</v>
      </c>
    </row>
    <row r="370" spans="2:24" ht="14.25" thickBot="1">
      <c r="B370" s="113"/>
      <c r="C370" s="113"/>
      <c r="D370" s="113"/>
      <c r="E370" s="113"/>
      <c r="F370" s="114"/>
      <c r="G370" s="115">
        <f>F367-G367</f>
        <v>-5.451469780343805E-05</v>
      </c>
      <c r="H370" s="116"/>
      <c r="I370" s="117"/>
      <c r="J370" s="118">
        <f>I367-J367</f>
        <v>-5.4514697803437944E-05</v>
      </c>
      <c r="K370" s="119"/>
      <c r="L370" s="120"/>
      <c r="M370" s="129">
        <f>L367-M367</f>
        <v>845.5460283340653</v>
      </c>
      <c r="N370" s="226" t="s">
        <v>50</v>
      </c>
      <c r="O370" s="221" t="s">
        <v>97</v>
      </c>
      <c r="P370" s="132"/>
      <c r="Q370" s="113"/>
      <c r="R370" s="45"/>
      <c r="S370" s="45"/>
      <c r="T370" s="45"/>
      <c r="U370" s="45"/>
      <c r="W370" s="386">
        <f>(1-W369/N369)*100</f>
        <v>4.414398420035948</v>
      </c>
      <c r="X370" s="314" t="s">
        <v>290</v>
      </c>
    </row>
    <row r="371" spans="2:24" ht="13.5">
      <c r="B371" s="45"/>
      <c r="C371" s="45"/>
      <c r="D371" s="45"/>
      <c r="E371" s="45"/>
      <c r="F371" s="45"/>
      <c r="G371" s="45"/>
      <c r="H371" s="45"/>
      <c r="I371" s="45"/>
      <c r="J371" s="45"/>
      <c r="K371" s="121"/>
      <c r="L371" s="45"/>
      <c r="M371" s="45"/>
      <c r="N371" s="133" t="s">
        <v>93</v>
      </c>
      <c r="O371" s="134">
        <f>1-O367/N367</f>
        <v>0.04419254508563608</v>
      </c>
      <c r="P371" s="72"/>
      <c r="Q371" s="45"/>
      <c r="R371" s="45"/>
      <c r="S371" s="45"/>
      <c r="T371" s="45"/>
      <c r="U371" s="45"/>
      <c r="W371" s="389" t="s">
        <v>90</v>
      </c>
      <c r="X371" s="361"/>
    </row>
    <row r="372" spans="2:24" ht="14.25">
      <c r="B372" s="39" t="s">
        <v>48</v>
      </c>
      <c r="C372" s="39" t="s">
        <v>95</v>
      </c>
      <c r="D372" s="40" t="s">
        <v>5</v>
      </c>
      <c r="E372" s="40" t="s">
        <v>53</v>
      </c>
      <c r="F372" s="41" t="s">
        <v>61</v>
      </c>
      <c r="G372" s="41" t="s">
        <v>308</v>
      </c>
      <c r="H372" s="34" t="s">
        <v>112</v>
      </c>
      <c r="I372" s="42" t="s">
        <v>52</v>
      </c>
      <c r="J372" s="42" t="s">
        <v>108</v>
      </c>
      <c r="K372" s="35" t="s">
        <v>311</v>
      </c>
      <c r="L372" s="43" t="s">
        <v>51</v>
      </c>
      <c r="M372" s="43" t="s">
        <v>107</v>
      </c>
      <c r="N372" s="43" t="s">
        <v>101</v>
      </c>
      <c r="O372" s="43" t="s">
        <v>110</v>
      </c>
      <c r="P372" s="70" t="s">
        <v>103</v>
      </c>
      <c r="Q372" s="70" t="s">
        <v>111</v>
      </c>
      <c r="R372" s="42" t="s">
        <v>52</v>
      </c>
      <c r="S372" s="42" t="s">
        <v>108</v>
      </c>
      <c r="T372" s="75" t="s">
        <v>113</v>
      </c>
      <c r="U372" s="75" t="s">
        <v>312</v>
      </c>
      <c r="W372" s="49"/>
      <c r="X372" s="122"/>
    </row>
    <row r="373" spans="11:16" ht="13.5">
      <c r="K373" s="11"/>
      <c r="N373" s="68"/>
      <c r="O373" s="69"/>
      <c r="P373" s="20"/>
    </row>
    <row r="374" spans="2:21" ht="13.5">
      <c r="B374" s="17"/>
      <c r="C374" s="17"/>
      <c r="D374" s="17"/>
      <c r="E374" s="17"/>
      <c r="F374" s="45"/>
      <c r="G374" s="17" t="s">
        <v>98</v>
      </c>
      <c r="I374" s="49" t="s">
        <v>115</v>
      </c>
      <c r="J374" s="49" t="s">
        <v>116</v>
      </c>
      <c r="K374" s="79" t="s">
        <v>89</v>
      </c>
      <c r="L374" s="82" t="s">
        <v>126</v>
      </c>
      <c r="M374" s="289"/>
      <c r="N374" s="321"/>
      <c r="O374" s="289"/>
      <c r="P374" s="20"/>
      <c r="T374" s="291" t="s">
        <v>253</v>
      </c>
      <c r="U374" s="287"/>
    </row>
    <row r="375" spans="2:21" ht="13.5">
      <c r="B375" s="43" t="s">
        <v>94</v>
      </c>
      <c r="C375" s="47" t="s">
        <v>14</v>
      </c>
      <c r="D375" s="73" t="s">
        <v>5</v>
      </c>
      <c r="E375" s="76" t="s">
        <v>250</v>
      </c>
      <c r="F375" s="77" t="s">
        <v>251</v>
      </c>
      <c r="G375" s="78" t="s">
        <v>114</v>
      </c>
      <c r="I375" s="307">
        <f>J366*10^6</f>
        <v>2461.6212571685514</v>
      </c>
      <c r="J375" s="285">
        <f>M366/10^3</f>
        <v>169.4802356688658</v>
      </c>
      <c r="K375" s="88">
        <f>O369</f>
        <v>1698.1559636433535</v>
      </c>
      <c r="L375" s="286">
        <f>Val!D67</f>
        <v>0.6529209621993127</v>
      </c>
      <c r="M375" s="289"/>
      <c r="N375" s="289"/>
      <c r="O375" s="289"/>
      <c r="P375" s="20"/>
      <c r="T375" s="292">
        <f>Val!$D$29/$M$366</f>
        <v>0.5977098131838934</v>
      </c>
      <c r="U375" s="72"/>
    </row>
    <row r="376" spans="2:21" ht="13.5">
      <c r="B376" s="19">
        <v>0</v>
      </c>
      <c r="C376" s="15">
        <f>Data!D26</f>
        <v>0</v>
      </c>
      <c r="D376" s="30">
        <f>PI()/180*C376</f>
        <v>0</v>
      </c>
      <c r="E376" s="22">
        <f>(Val!$D$11*((1-COS(Calc!$D$376))+1/Val!$D$18*(1-(1-(Val!$D$18*SIN(Calc!$D$376))^2)^0.5))+Val!$D$14+Val!$D$13+Val!$D$12*((1-COS(Calc!$D$376-Val!$D$16))+1/Val!$D$19*(1-(1-(Val!$D$19*SIN(Calc!$D$376-Val!$D$16))^2)^0.5))+Val!$D$15)/$J$366</f>
        <v>0.5097634557740871</v>
      </c>
      <c r="F376" s="74">
        <f>(Val!$D$42*Val!$D$22/(Val!$D$11*((1-COS(Calc!D376))+1/Val!$D$18*(1-(1-(Val!$D$18*SIN(Calc!D376))^2)^0.5))/Val!$D$25+Val!$D$14/Val!$D$25+Val!$D$13/Val!$D$27+Val!$D$12*((1-COS(Calc!D376-Val!$D$16))+1/Val!$D$19*(1-(1-(Val!$D$19*SIN(Calc!D376-Val!$D$16))^2)^0.5))/Val!$D$26+Val!$D$15/Val!$D$26))/$M$366</f>
        <v>0.5815907451358989</v>
      </c>
      <c r="G376" s="16">
        <f>F376*E376</f>
        <v>0.29647370808670215</v>
      </c>
      <c r="I376" s="15">
        <v>0.9</v>
      </c>
      <c r="J376" s="15">
        <v>0.9</v>
      </c>
      <c r="K376" s="15">
        <v>0.9</v>
      </c>
      <c r="L376" s="83">
        <v>0.9</v>
      </c>
      <c r="M376" s="359" t="s">
        <v>319</v>
      </c>
      <c r="N376" s="290"/>
      <c r="O376" s="290"/>
      <c r="P376" s="20"/>
      <c r="T376" s="288">
        <f>Val!$D$29/$M$366</f>
        <v>0.5977098131838934</v>
      </c>
      <c r="U376" s="288">
        <v>0</v>
      </c>
    </row>
    <row r="377" spans="2:21" ht="13.5">
      <c r="B377" s="19">
        <v>0</v>
      </c>
      <c r="C377" s="15">
        <v>0</v>
      </c>
      <c r="D377" s="30">
        <f>PI()/180*C377</f>
        <v>0</v>
      </c>
      <c r="E377" s="22">
        <f>(Val!$D$11*((1-COS(Calc!$D$376))+1/Val!$D$18*(1-(1-(Val!$D$18*SIN(Calc!$D$376))^2)^0.5))+Val!$D$14+Val!$D$13+Val!$D$12*((1-COS(Calc!$D$376-Val!$D$16))+1/Val!$D$19*(1-(1-(Val!$D$19*SIN(Calc!$D$376-Val!$D$16))^2)^0.5))+Val!$D$15)/$J$366</f>
        <v>0.5097634557740871</v>
      </c>
      <c r="F377" s="74">
        <v>0</v>
      </c>
      <c r="G377" s="45"/>
      <c r="I377" s="61">
        <v>1.14</v>
      </c>
      <c r="J377" s="61">
        <v>1.08</v>
      </c>
      <c r="K377" s="61">
        <v>1.02</v>
      </c>
      <c r="L377" s="84">
        <v>0.96</v>
      </c>
      <c r="M377" s="360" t="s">
        <v>320</v>
      </c>
      <c r="N377" s="290"/>
      <c r="O377" s="290"/>
      <c r="P377" s="20"/>
      <c r="T377" s="288">
        <f>T376</f>
        <v>0.5977098131838934</v>
      </c>
      <c r="U377" s="288">
        <v>1.2</v>
      </c>
    </row>
    <row r="378" spans="14:16" ht="13.5">
      <c r="N378" s="20"/>
      <c r="O378" s="20"/>
      <c r="P378" s="20"/>
    </row>
    <row r="379" spans="14:16" ht="13.5">
      <c r="N379" s="20"/>
      <c r="O379" s="20"/>
      <c r="P379" s="20"/>
    </row>
    <row r="380" spans="14:16" ht="13.5">
      <c r="N380" s="20"/>
      <c r="O380" s="20"/>
      <c r="P380" s="20"/>
    </row>
    <row r="381" spans="14:16" ht="13.5">
      <c r="N381" s="20"/>
      <c r="O381" s="20"/>
      <c r="P381" s="20"/>
    </row>
    <row r="382" spans="14:16" ht="13.5">
      <c r="N382" s="20"/>
      <c r="O382" s="20"/>
      <c r="P382" s="20"/>
    </row>
    <row r="383" spans="14:16" ht="13.5">
      <c r="N383" s="20"/>
      <c r="O383" s="20"/>
      <c r="P383" s="20"/>
    </row>
    <row r="384" spans="14:16" ht="13.5">
      <c r="N384" s="20"/>
      <c r="O384" s="20"/>
      <c r="P384" s="20"/>
    </row>
    <row r="385" spans="14:16" ht="13.5">
      <c r="N385" s="20"/>
      <c r="O385" s="20"/>
      <c r="P385" s="20"/>
    </row>
    <row r="386" spans="14:16" ht="13.5">
      <c r="N386" s="20"/>
      <c r="O386" s="20"/>
      <c r="P386" s="20"/>
    </row>
    <row r="387" spans="14:16" ht="13.5">
      <c r="N387" s="20"/>
      <c r="O387" s="20"/>
      <c r="P387" s="20"/>
    </row>
    <row r="388" spans="14:16" ht="13.5">
      <c r="N388" s="20"/>
      <c r="O388" s="20"/>
      <c r="P388" s="20"/>
    </row>
    <row r="389" spans="14:16" ht="13.5">
      <c r="N389" s="20"/>
      <c r="O389" s="20"/>
      <c r="P389" s="20"/>
    </row>
    <row r="390" spans="14:16" ht="13.5">
      <c r="N390" s="20"/>
      <c r="O390" s="20"/>
      <c r="P390" s="20"/>
    </row>
    <row r="391" spans="14:16" ht="13.5">
      <c r="N391" s="20"/>
      <c r="O391" s="20"/>
      <c r="P391" s="20"/>
    </row>
    <row r="392" spans="14:16" ht="13.5">
      <c r="N392" s="20"/>
      <c r="O392" s="20"/>
      <c r="P392" s="20"/>
    </row>
    <row r="393" spans="14:16" ht="13.5">
      <c r="N393" s="20"/>
      <c r="O393" s="20"/>
      <c r="P393" s="20"/>
    </row>
    <row r="394" spans="14:16" ht="13.5">
      <c r="N394" s="20"/>
      <c r="O394" s="20"/>
      <c r="P394" s="20"/>
    </row>
    <row r="395" spans="14:16" ht="13.5">
      <c r="N395" s="20"/>
      <c r="O395" s="20"/>
      <c r="P395" s="20"/>
    </row>
    <row r="396" spans="14:16" ht="13.5">
      <c r="N396" s="20"/>
      <c r="O396" s="20"/>
      <c r="P396" s="20"/>
    </row>
    <row r="397" spans="14:16" ht="13.5">
      <c r="N397" s="20"/>
      <c r="O397" s="20"/>
      <c r="P397" s="20"/>
    </row>
    <row r="398" spans="14:16" ht="13.5">
      <c r="N398" s="20"/>
      <c r="O398" s="20"/>
      <c r="P398" s="20"/>
    </row>
    <row r="399" spans="14:16" ht="13.5">
      <c r="N399" s="20"/>
      <c r="O399" s="20"/>
      <c r="P399" s="20"/>
    </row>
    <row r="400" spans="14:16" ht="13.5">
      <c r="N400" s="20"/>
      <c r="O400" s="20"/>
      <c r="P400" s="20"/>
    </row>
    <row r="401" spans="14:16" ht="13.5">
      <c r="N401" s="20"/>
      <c r="O401" s="20"/>
      <c r="P401" s="20"/>
    </row>
    <row r="402" spans="14:16" ht="13.5">
      <c r="N402" s="20"/>
      <c r="O402" s="20"/>
      <c r="P402" s="20"/>
    </row>
    <row r="403" spans="14:16" ht="13.5">
      <c r="N403" s="20"/>
      <c r="O403" s="20"/>
      <c r="P403" s="20"/>
    </row>
    <row r="404" spans="14:16" ht="13.5">
      <c r="N404" s="20"/>
      <c r="O404" s="20"/>
      <c r="P404" s="20"/>
    </row>
    <row r="405" spans="14:16" ht="13.5">
      <c r="N405" s="20"/>
      <c r="O405" s="20"/>
      <c r="P405" s="20"/>
    </row>
    <row r="406" spans="14:16" ht="13.5">
      <c r="N406" s="20"/>
      <c r="O406" s="20"/>
      <c r="P406" s="20"/>
    </row>
    <row r="407" spans="14:16" ht="13.5">
      <c r="N407" s="20"/>
      <c r="O407" s="20"/>
      <c r="P407" s="20"/>
    </row>
    <row r="408" spans="14:16" ht="13.5">
      <c r="N408" s="20"/>
      <c r="O408" s="20"/>
      <c r="P408" s="20"/>
    </row>
    <row r="409" spans="14:16" ht="13.5">
      <c r="N409" s="20"/>
      <c r="O409" s="20"/>
      <c r="P409" s="20"/>
    </row>
    <row r="410" spans="14:16" ht="13.5">
      <c r="N410" s="20"/>
      <c r="O410" s="20"/>
      <c r="P410" s="20"/>
    </row>
    <row r="411" spans="14:16" ht="13.5">
      <c r="N411" s="20"/>
      <c r="O411" s="20"/>
      <c r="P411" s="20"/>
    </row>
    <row r="412" spans="14:16" ht="13.5">
      <c r="N412" s="20"/>
      <c r="O412" s="20"/>
      <c r="P412" s="20"/>
    </row>
    <row r="413" spans="14:16" ht="13.5">
      <c r="N413" s="20"/>
      <c r="O413" s="20"/>
      <c r="P413" s="20"/>
    </row>
    <row r="414" spans="14:16" ht="13.5">
      <c r="N414" s="20"/>
      <c r="O414" s="20"/>
      <c r="P414" s="20"/>
    </row>
    <row r="415" spans="14:16" ht="13.5">
      <c r="N415" s="20"/>
      <c r="O415" s="20"/>
      <c r="P415" s="20"/>
    </row>
    <row r="416" spans="14:16" ht="13.5">
      <c r="N416" s="20"/>
      <c r="O416" s="20"/>
      <c r="P416" s="20"/>
    </row>
    <row r="417" spans="14:16" ht="13.5">
      <c r="N417" s="20"/>
      <c r="O417" s="20"/>
      <c r="P417" s="20"/>
    </row>
    <row r="418" spans="14:16" ht="13.5">
      <c r="N418" s="20"/>
      <c r="O418" s="20"/>
      <c r="P418" s="20"/>
    </row>
    <row r="419" spans="14:16" ht="13.5">
      <c r="N419" s="20"/>
      <c r="O419" s="20"/>
      <c r="P419" s="20"/>
    </row>
    <row r="420" spans="14:16" ht="13.5">
      <c r="N420" s="20"/>
      <c r="O420" s="20"/>
      <c r="P420" s="20"/>
    </row>
    <row r="421" spans="14:16" ht="13.5">
      <c r="N421" s="20"/>
      <c r="O421" s="20"/>
      <c r="P421" s="20"/>
    </row>
    <row r="422" spans="14:16" ht="13.5">
      <c r="N422" s="20"/>
      <c r="O422" s="20"/>
      <c r="P422" s="20"/>
    </row>
    <row r="423" spans="14:16" ht="13.5">
      <c r="N423" s="20"/>
      <c r="O423" s="20"/>
      <c r="P423" s="20"/>
    </row>
    <row r="424" spans="14:16" ht="13.5">
      <c r="N424" s="20"/>
      <c r="O424" s="20"/>
      <c r="P424" s="20"/>
    </row>
    <row r="425" spans="14:16" ht="13.5">
      <c r="N425" s="20"/>
      <c r="O425" s="20"/>
      <c r="P425" s="20"/>
    </row>
    <row r="426" spans="14:16" ht="13.5">
      <c r="N426" s="20"/>
      <c r="O426" s="20"/>
      <c r="P426" s="20"/>
    </row>
    <row r="427" spans="14:16" ht="13.5">
      <c r="N427" s="20"/>
      <c r="O427" s="20"/>
      <c r="P427" s="20"/>
    </row>
    <row r="428" spans="14:16" ht="13.5">
      <c r="N428" s="20"/>
      <c r="O428" s="20"/>
      <c r="P428" s="20"/>
    </row>
    <row r="429" spans="14:16" ht="13.5">
      <c r="N429" s="20"/>
      <c r="O429" s="20"/>
      <c r="P429" s="20"/>
    </row>
    <row r="430" spans="14:16" ht="13.5">
      <c r="N430" s="20"/>
      <c r="O430" s="20"/>
      <c r="P430" s="20"/>
    </row>
    <row r="431" spans="14:16" ht="13.5">
      <c r="N431" s="20"/>
      <c r="O431" s="20"/>
      <c r="P431" s="20"/>
    </row>
    <row r="432" spans="14:16" ht="13.5">
      <c r="N432" s="20"/>
      <c r="O432" s="20"/>
      <c r="P432" s="20"/>
    </row>
    <row r="433" spans="14:16" ht="13.5">
      <c r="N433" s="20"/>
      <c r="O433" s="20"/>
      <c r="P433" s="20"/>
    </row>
    <row r="434" spans="14:16" ht="13.5">
      <c r="N434" s="20"/>
      <c r="O434" s="20"/>
      <c r="P434" s="20"/>
    </row>
    <row r="435" spans="14:16" ht="13.5">
      <c r="N435" s="20"/>
      <c r="O435" s="20"/>
      <c r="P435" s="20"/>
    </row>
    <row r="436" spans="14:16" ht="13.5">
      <c r="N436" s="20"/>
      <c r="O436" s="20"/>
      <c r="P436" s="20"/>
    </row>
    <row r="437" spans="14:16" ht="13.5">
      <c r="N437" s="20"/>
      <c r="O437" s="20"/>
      <c r="P437" s="20"/>
    </row>
    <row r="438" spans="14:16" ht="13.5">
      <c r="N438" s="20"/>
      <c r="O438" s="20"/>
      <c r="P438" s="20"/>
    </row>
    <row r="439" spans="14:16" ht="13.5">
      <c r="N439" s="20"/>
      <c r="O439" s="20"/>
      <c r="P439" s="20"/>
    </row>
    <row r="440" spans="14:16" ht="13.5">
      <c r="N440" s="20"/>
      <c r="O440" s="20"/>
      <c r="P440" s="20"/>
    </row>
    <row r="441" spans="14:16" ht="13.5">
      <c r="N441" s="20"/>
      <c r="O441" s="20"/>
      <c r="P441" s="20"/>
    </row>
    <row r="442" spans="14:16" ht="13.5">
      <c r="N442" s="20"/>
      <c r="O442" s="20"/>
      <c r="P442" s="20"/>
    </row>
    <row r="443" spans="14:16" ht="13.5">
      <c r="N443" s="20"/>
      <c r="O443" s="20"/>
      <c r="P443" s="20"/>
    </row>
    <row r="444" spans="14:16" ht="13.5">
      <c r="N444" s="20"/>
      <c r="O444" s="20"/>
      <c r="P444" s="20"/>
    </row>
    <row r="445" spans="14:16" ht="13.5">
      <c r="N445" s="20"/>
      <c r="O445" s="20"/>
      <c r="P445" s="20"/>
    </row>
    <row r="446" spans="14:16" ht="13.5">
      <c r="N446" s="20"/>
      <c r="O446" s="20"/>
      <c r="P446" s="20"/>
    </row>
    <row r="447" spans="14:16" ht="13.5">
      <c r="N447" s="20"/>
      <c r="O447" s="20"/>
      <c r="P447" s="20"/>
    </row>
    <row r="448" spans="14:16" ht="13.5">
      <c r="N448" s="20"/>
      <c r="O448" s="20"/>
      <c r="P448" s="20"/>
    </row>
    <row r="449" spans="14:16" ht="13.5">
      <c r="N449" s="20"/>
      <c r="O449" s="20"/>
      <c r="P449" s="20"/>
    </row>
    <row r="450" spans="14:16" ht="13.5">
      <c r="N450" s="20"/>
      <c r="O450" s="20"/>
      <c r="P450" s="20"/>
    </row>
    <row r="451" spans="14:16" ht="13.5">
      <c r="N451" s="20"/>
      <c r="O451" s="20"/>
      <c r="P451" s="20"/>
    </row>
    <row r="452" spans="14:16" ht="13.5">
      <c r="N452" s="20"/>
      <c r="O452" s="20"/>
      <c r="P452" s="20"/>
    </row>
    <row r="453" spans="14:16" ht="13.5">
      <c r="N453" s="20"/>
      <c r="O453" s="20"/>
      <c r="P453" s="20"/>
    </row>
    <row r="454" spans="14:16" ht="13.5">
      <c r="N454" s="20"/>
      <c r="O454" s="20"/>
      <c r="P454" s="20"/>
    </row>
    <row r="455" spans="14:16" ht="13.5">
      <c r="N455" s="20"/>
      <c r="O455" s="20"/>
      <c r="P455" s="20"/>
    </row>
    <row r="456" spans="14:16" ht="13.5">
      <c r="N456" s="20"/>
      <c r="O456" s="20"/>
      <c r="P456" s="20"/>
    </row>
    <row r="457" spans="14:16" ht="13.5">
      <c r="N457" s="20"/>
      <c r="O457" s="20"/>
      <c r="P457" s="20"/>
    </row>
    <row r="458" spans="14:16" ht="13.5">
      <c r="N458" s="20"/>
      <c r="O458" s="20"/>
      <c r="P458" s="20"/>
    </row>
    <row r="459" spans="14:16" ht="13.5">
      <c r="N459" s="20"/>
      <c r="O459" s="20"/>
      <c r="P459" s="20"/>
    </row>
    <row r="460" spans="14:16" ht="13.5">
      <c r="N460" s="20"/>
      <c r="O460" s="20"/>
      <c r="P460" s="20"/>
    </row>
    <row r="461" spans="14:16" ht="13.5">
      <c r="N461" s="20"/>
      <c r="O461" s="20"/>
      <c r="P461" s="20"/>
    </row>
    <row r="462" spans="14:16" ht="13.5">
      <c r="N462" s="20"/>
      <c r="O462" s="20"/>
      <c r="P462" s="20"/>
    </row>
    <row r="463" spans="14:16" ht="13.5">
      <c r="N463" s="20"/>
      <c r="O463" s="20"/>
      <c r="P463" s="20"/>
    </row>
    <row r="464" spans="14:16" ht="13.5">
      <c r="N464" s="20"/>
      <c r="O464" s="20"/>
      <c r="P464" s="20"/>
    </row>
    <row r="465" spans="14:16" ht="13.5">
      <c r="N465" s="20"/>
      <c r="O465" s="20"/>
      <c r="P465" s="20"/>
    </row>
    <row r="466" spans="14:16" ht="13.5">
      <c r="N466" s="20"/>
      <c r="O466" s="20"/>
      <c r="P466" s="20"/>
    </row>
    <row r="467" spans="14:16" ht="13.5">
      <c r="N467" s="20"/>
      <c r="O467" s="20"/>
      <c r="P467" s="20"/>
    </row>
    <row r="468" spans="14:16" ht="13.5">
      <c r="N468" s="20"/>
      <c r="O468" s="20"/>
      <c r="P468" s="20"/>
    </row>
    <row r="469" spans="14:16" ht="13.5">
      <c r="N469" s="20"/>
      <c r="O469" s="20"/>
      <c r="P469" s="20"/>
    </row>
    <row r="470" spans="14:16" ht="13.5">
      <c r="N470" s="20"/>
      <c r="O470" s="20"/>
      <c r="P470" s="20"/>
    </row>
    <row r="471" spans="14:16" ht="13.5">
      <c r="N471" s="20"/>
      <c r="O471" s="20"/>
      <c r="P471" s="20"/>
    </row>
    <row r="472" spans="14:16" ht="13.5">
      <c r="N472" s="20"/>
      <c r="O472" s="20"/>
      <c r="P472" s="20"/>
    </row>
    <row r="473" spans="14:16" ht="13.5">
      <c r="N473" s="20"/>
      <c r="O473" s="20"/>
      <c r="P473" s="20"/>
    </row>
    <row r="474" spans="14:16" ht="13.5">
      <c r="N474" s="20"/>
      <c r="O474" s="20"/>
      <c r="P474" s="20"/>
    </row>
    <row r="475" spans="14:16" ht="13.5">
      <c r="N475" s="20"/>
      <c r="O475" s="20"/>
      <c r="P475" s="20"/>
    </row>
    <row r="476" spans="14:16" ht="13.5">
      <c r="N476" s="20"/>
      <c r="O476" s="20"/>
      <c r="P476" s="20"/>
    </row>
    <row r="477" spans="14:16" ht="13.5">
      <c r="N477" s="20"/>
      <c r="O477" s="20"/>
      <c r="P477" s="20"/>
    </row>
    <row r="478" spans="14:16" ht="13.5">
      <c r="N478" s="20"/>
      <c r="O478" s="20"/>
      <c r="P478" s="20"/>
    </row>
    <row r="479" spans="14:16" ht="13.5">
      <c r="N479" s="20"/>
      <c r="O479" s="20"/>
      <c r="P479" s="20"/>
    </row>
    <row r="480" spans="14:16" ht="13.5">
      <c r="N480" s="20"/>
      <c r="O480" s="20"/>
      <c r="P480" s="20"/>
    </row>
    <row r="481" spans="14:16" ht="13.5">
      <c r="N481" s="20"/>
      <c r="O481" s="20"/>
      <c r="P481" s="20"/>
    </row>
    <row r="482" spans="14:16" ht="13.5">
      <c r="N482" s="20"/>
      <c r="O482" s="20"/>
      <c r="P482" s="20"/>
    </row>
    <row r="483" spans="14:16" ht="13.5">
      <c r="N483" s="20"/>
      <c r="O483" s="20"/>
      <c r="P483" s="20"/>
    </row>
    <row r="484" spans="14:16" ht="13.5">
      <c r="N484" s="20"/>
      <c r="O484" s="20"/>
      <c r="P484" s="20"/>
    </row>
    <row r="485" spans="14:16" ht="13.5">
      <c r="N485" s="20"/>
      <c r="O485" s="20"/>
      <c r="P485" s="20"/>
    </row>
    <row r="486" spans="14:16" ht="13.5">
      <c r="N486" s="20"/>
      <c r="O486" s="20"/>
      <c r="P486" s="20"/>
    </row>
    <row r="487" spans="14:16" ht="13.5">
      <c r="N487" s="20"/>
      <c r="O487" s="20"/>
      <c r="P487" s="20"/>
    </row>
    <row r="488" spans="14:16" ht="13.5">
      <c r="N488" s="20"/>
      <c r="O488" s="20"/>
      <c r="P488" s="20"/>
    </row>
    <row r="489" spans="14:16" ht="13.5">
      <c r="N489" s="20"/>
      <c r="O489" s="20"/>
      <c r="P489" s="20"/>
    </row>
    <row r="490" spans="14:16" ht="13.5">
      <c r="N490" s="20"/>
      <c r="O490" s="20"/>
      <c r="P490" s="20"/>
    </row>
    <row r="491" spans="14:16" ht="13.5">
      <c r="N491" s="20"/>
      <c r="O491" s="20"/>
      <c r="P491" s="20"/>
    </row>
    <row r="492" spans="14:16" ht="13.5">
      <c r="N492" s="20"/>
      <c r="O492" s="20"/>
      <c r="P492" s="20"/>
    </row>
    <row r="493" spans="14:16" ht="13.5">
      <c r="N493" s="20"/>
      <c r="O493" s="20"/>
      <c r="P493" s="20"/>
    </row>
    <row r="494" spans="14:16" ht="13.5">
      <c r="N494" s="20"/>
      <c r="O494" s="20"/>
      <c r="P494" s="20"/>
    </row>
    <row r="495" spans="14:16" ht="13.5">
      <c r="N495" s="20"/>
      <c r="O495" s="20"/>
      <c r="P495" s="20"/>
    </row>
    <row r="496" spans="14:16" ht="13.5">
      <c r="N496" s="20"/>
      <c r="O496" s="20"/>
      <c r="P496" s="20"/>
    </row>
    <row r="497" spans="14:16" ht="13.5">
      <c r="N497" s="20"/>
      <c r="O497" s="20"/>
      <c r="P497" s="20"/>
    </row>
    <row r="498" spans="14:16" ht="13.5">
      <c r="N498" s="20"/>
      <c r="O498" s="20"/>
      <c r="P498" s="20"/>
    </row>
    <row r="499" spans="14:16" ht="13.5">
      <c r="N499" s="20"/>
      <c r="O499" s="20"/>
      <c r="P499" s="20"/>
    </row>
    <row r="500" spans="14:16" ht="13.5">
      <c r="N500" s="20"/>
      <c r="O500" s="20"/>
      <c r="P500" s="20"/>
    </row>
    <row r="501" spans="14:16" ht="13.5">
      <c r="N501" s="20"/>
      <c r="O501" s="20"/>
      <c r="P501" s="20"/>
    </row>
    <row r="502" spans="14:16" ht="13.5">
      <c r="N502" s="20"/>
      <c r="O502" s="20"/>
      <c r="P502" s="20"/>
    </row>
    <row r="503" spans="14:16" ht="13.5">
      <c r="N503" s="20"/>
      <c r="O503" s="20"/>
      <c r="P503" s="20"/>
    </row>
    <row r="504" spans="14:16" ht="13.5">
      <c r="N504" s="20"/>
      <c r="O504" s="20"/>
      <c r="P504" s="20"/>
    </row>
    <row r="505" spans="14:16" ht="13.5">
      <c r="N505" s="20"/>
      <c r="O505" s="20"/>
      <c r="P505" s="20"/>
    </row>
    <row r="506" spans="14:16" ht="13.5">
      <c r="N506" s="20"/>
      <c r="O506" s="20"/>
      <c r="P506" s="20"/>
    </row>
    <row r="507" spans="14:16" ht="13.5">
      <c r="N507" s="20"/>
      <c r="O507" s="20"/>
      <c r="P507" s="20"/>
    </row>
    <row r="508" spans="14:16" ht="13.5">
      <c r="N508" s="20"/>
      <c r="O508" s="20"/>
      <c r="P508" s="20"/>
    </row>
    <row r="509" spans="14:16" ht="13.5">
      <c r="N509" s="20"/>
      <c r="O509" s="20"/>
      <c r="P509" s="20"/>
    </row>
    <row r="510" spans="14:16" ht="13.5">
      <c r="N510" s="20"/>
      <c r="O510" s="20"/>
      <c r="P510" s="20"/>
    </row>
    <row r="511" spans="14:16" ht="13.5">
      <c r="N511" s="20"/>
      <c r="O511" s="20"/>
      <c r="P511" s="20"/>
    </row>
    <row r="512" spans="14:16" ht="13.5">
      <c r="N512" s="20"/>
      <c r="O512" s="20"/>
      <c r="P512" s="20"/>
    </row>
    <row r="513" spans="14:16" ht="13.5">
      <c r="N513" s="20"/>
      <c r="O513" s="20"/>
      <c r="P513" s="20"/>
    </row>
    <row r="514" spans="14:16" ht="13.5">
      <c r="N514" s="20"/>
      <c r="O514" s="20"/>
      <c r="P514" s="20"/>
    </row>
    <row r="515" spans="14:16" ht="13.5">
      <c r="N515" s="20"/>
      <c r="O515" s="20"/>
      <c r="P515" s="20"/>
    </row>
    <row r="516" spans="14:16" ht="13.5">
      <c r="N516" s="20"/>
      <c r="O516" s="20"/>
      <c r="P516" s="20"/>
    </row>
    <row r="517" spans="14:16" ht="13.5">
      <c r="N517" s="20"/>
      <c r="O517" s="20"/>
      <c r="P517" s="20"/>
    </row>
    <row r="518" spans="14:16" ht="13.5">
      <c r="N518" s="20"/>
      <c r="O518" s="20"/>
      <c r="P518" s="20"/>
    </row>
    <row r="519" spans="14:16" ht="13.5">
      <c r="N519" s="20"/>
      <c r="O519" s="20"/>
      <c r="P519" s="20"/>
    </row>
    <row r="520" spans="14:16" ht="13.5">
      <c r="N520" s="20"/>
      <c r="O520" s="20"/>
      <c r="P520" s="20"/>
    </row>
    <row r="521" spans="14:16" ht="13.5">
      <c r="N521" s="20"/>
      <c r="O521" s="20"/>
      <c r="P521" s="20"/>
    </row>
    <row r="522" spans="14:16" ht="13.5">
      <c r="N522" s="20"/>
      <c r="O522" s="20"/>
      <c r="P522" s="20"/>
    </row>
    <row r="523" spans="14:16" ht="13.5">
      <c r="N523" s="20"/>
      <c r="O523" s="20"/>
      <c r="P523" s="20"/>
    </row>
    <row r="524" spans="14:16" ht="13.5">
      <c r="N524" s="20"/>
      <c r="O524" s="20"/>
      <c r="P524" s="20"/>
    </row>
    <row r="525" spans="14:16" ht="13.5">
      <c r="N525" s="20"/>
      <c r="O525" s="20"/>
      <c r="P525" s="20"/>
    </row>
    <row r="526" spans="14:16" ht="13.5">
      <c r="N526" s="20"/>
      <c r="O526" s="20"/>
      <c r="P526" s="20"/>
    </row>
    <row r="527" spans="14:16" ht="13.5">
      <c r="N527" s="20"/>
      <c r="O527" s="20"/>
      <c r="P527" s="20"/>
    </row>
    <row r="528" spans="14:16" ht="13.5">
      <c r="N528" s="20"/>
      <c r="O528" s="20"/>
      <c r="P528" s="20"/>
    </row>
    <row r="529" spans="14:16" ht="13.5">
      <c r="N529" s="20"/>
      <c r="O529" s="20"/>
      <c r="P529" s="20"/>
    </row>
    <row r="530" spans="14:16" ht="13.5">
      <c r="N530" s="20"/>
      <c r="O530" s="20"/>
      <c r="P530" s="20"/>
    </row>
    <row r="531" spans="14:16" ht="13.5">
      <c r="N531" s="20"/>
      <c r="O531" s="20"/>
      <c r="P531" s="20"/>
    </row>
    <row r="532" spans="14:16" ht="13.5">
      <c r="N532" s="20"/>
      <c r="O532" s="20"/>
      <c r="P532" s="20"/>
    </row>
    <row r="533" spans="14:16" ht="13.5">
      <c r="N533" s="20"/>
      <c r="O533" s="20"/>
      <c r="P533" s="20"/>
    </row>
    <row r="534" spans="14:16" ht="13.5">
      <c r="N534" s="20"/>
      <c r="O534" s="20"/>
      <c r="P534" s="20"/>
    </row>
    <row r="535" spans="14:16" ht="13.5">
      <c r="N535" s="20"/>
      <c r="O535" s="20"/>
      <c r="P535" s="20"/>
    </row>
    <row r="536" spans="14:16" ht="13.5">
      <c r="N536" s="20"/>
      <c r="O536" s="20"/>
      <c r="P536" s="20"/>
    </row>
    <row r="537" spans="14:16" ht="13.5">
      <c r="N537" s="20"/>
      <c r="O537" s="20"/>
      <c r="P537" s="20"/>
    </row>
    <row r="538" spans="14:16" ht="13.5">
      <c r="N538" s="20"/>
      <c r="O538" s="20"/>
      <c r="P538" s="20"/>
    </row>
    <row r="539" spans="14:16" ht="13.5">
      <c r="N539" s="20"/>
      <c r="O539" s="20"/>
      <c r="P539" s="20"/>
    </row>
    <row r="540" spans="14:16" ht="13.5">
      <c r="N540" s="20"/>
      <c r="O540" s="20"/>
      <c r="P540" s="20"/>
    </row>
    <row r="541" spans="14:16" ht="13.5">
      <c r="N541" s="20"/>
      <c r="O541" s="20"/>
      <c r="P541" s="20"/>
    </row>
    <row r="542" spans="14:16" ht="13.5">
      <c r="N542" s="20"/>
      <c r="O542" s="20"/>
      <c r="P542" s="20"/>
    </row>
    <row r="543" spans="14:16" ht="13.5">
      <c r="N543" s="20"/>
      <c r="O543" s="20"/>
      <c r="P543" s="20"/>
    </row>
    <row r="544" spans="14:16" ht="13.5">
      <c r="N544" s="20"/>
      <c r="O544" s="20"/>
      <c r="P544" s="20"/>
    </row>
    <row r="545" spans="14:16" ht="13.5">
      <c r="N545" s="20"/>
      <c r="O545" s="20"/>
      <c r="P545" s="20"/>
    </row>
    <row r="546" spans="14:16" ht="13.5">
      <c r="N546" s="20"/>
      <c r="O546" s="20"/>
      <c r="P546" s="20"/>
    </row>
    <row r="547" spans="14:16" ht="13.5">
      <c r="N547" s="20"/>
      <c r="O547" s="20"/>
      <c r="P547" s="20"/>
    </row>
    <row r="548" spans="14:16" ht="13.5">
      <c r="N548" s="20"/>
      <c r="O548" s="20"/>
      <c r="P548" s="20"/>
    </row>
    <row r="549" spans="14:16" ht="13.5">
      <c r="N549" s="20"/>
      <c r="O549" s="20"/>
      <c r="P549" s="20"/>
    </row>
    <row r="550" spans="14:16" ht="13.5">
      <c r="N550" s="20"/>
      <c r="O550" s="20"/>
      <c r="P550" s="20"/>
    </row>
    <row r="551" spans="14:16" ht="13.5">
      <c r="N551" s="20"/>
      <c r="O551" s="20"/>
      <c r="P551" s="20"/>
    </row>
    <row r="552" spans="14:16" ht="13.5">
      <c r="N552" s="20"/>
      <c r="O552" s="20"/>
      <c r="P552" s="20"/>
    </row>
    <row r="553" spans="14:16" ht="13.5">
      <c r="N553" s="20"/>
      <c r="O553" s="20"/>
      <c r="P553" s="20"/>
    </row>
    <row r="554" spans="14:16" ht="13.5">
      <c r="N554" s="20"/>
      <c r="O554" s="20"/>
      <c r="P554" s="20"/>
    </row>
    <row r="555" spans="14:16" ht="13.5">
      <c r="N555" s="20"/>
      <c r="O555" s="20"/>
      <c r="P555" s="20"/>
    </row>
    <row r="556" spans="14:16" ht="13.5">
      <c r="N556" s="20"/>
      <c r="O556" s="20"/>
      <c r="P556" s="20"/>
    </row>
    <row r="557" spans="14:16" ht="13.5">
      <c r="N557" s="20"/>
      <c r="O557" s="20"/>
      <c r="P557" s="20"/>
    </row>
    <row r="558" spans="14:16" ht="13.5">
      <c r="N558" s="20"/>
      <c r="O558" s="20"/>
      <c r="P558" s="20"/>
    </row>
    <row r="559" spans="14:16" ht="13.5">
      <c r="N559" s="20"/>
      <c r="O559" s="20"/>
      <c r="P559" s="20"/>
    </row>
    <row r="560" spans="14:16" ht="13.5">
      <c r="N560" s="20"/>
      <c r="O560" s="20"/>
      <c r="P560" s="20"/>
    </row>
    <row r="561" spans="14:16" ht="13.5">
      <c r="N561" s="20"/>
      <c r="O561" s="20"/>
      <c r="P561" s="20"/>
    </row>
    <row r="562" spans="14:16" ht="13.5">
      <c r="N562" s="20"/>
      <c r="O562" s="20"/>
      <c r="P562" s="20"/>
    </row>
    <row r="563" spans="14:16" ht="13.5">
      <c r="N563" s="20"/>
      <c r="O563" s="20"/>
      <c r="P563" s="20"/>
    </row>
    <row r="564" spans="14:16" ht="13.5">
      <c r="N564" s="20"/>
      <c r="O564" s="20"/>
      <c r="P564" s="20"/>
    </row>
    <row r="565" spans="14:16" ht="13.5">
      <c r="N565" s="20"/>
      <c r="O565" s="20"/>
      <c r="P565" s="20"/>
    </row>
    <row r="566" spans="14:16" ht="13.5">
      <c r="N566" s="20"/>
      <c r="O566" s="20"/>
      <c r="P566" s="20"/>
    </row>
    <row r="567" spans="14:16" ht="13.5">
      <c r="N567" s="20"/>
      <c r="O567" s="20"/>
      <c r="P567" s="20"/>
    </row>
    <row r="568" spans="14:16" ht="13.5">
      <c r="N568" s="20"/>
      <c r="O568" s="20"/>
      <c r="P568" s="20"/>
    </row>
    <row r="569" spans="14:16" ht="13.5">
      <c r="N569" s="20"/>
      <c r="O569" s="20"/>
      <c r="P569" s="20"/>
    </row>
    <row r="570" spans="14:16" ht="13.5">
      <c r="N570" s="20"/>
      <c r="O570" s="20"/>
      <c r="P570" s="20"/>
    </row>
    <row r="571" spans="14:16" ht="13.5">
      <c r="N571" s="20"/>
      <c r="O571" s="20"/>
      <c r="P571" s="20"/>
    </row>
    <row r="572" spans="14:16" ht="13.5">
      <c r="N572" s="20"/>
      <c r="O572" s="20"/>
      <c r="P572" s="20"/>
    </row>
    <row r="573" spans="14:16" ht="13.5">
      <c r="N573" s="20"/>
      <c r="O573" s="20"/>
      <c r="P573" s="20"/>
    </row>
    <row r="574" spans="14:16" ht="13.5">
      <c r="N574" s="20"/>
      <c r="O574" s="20"/>
      <c r="P574" s="20"/>
    </row>
    <row r="575" spans="14:16" ht="13.5">
      <c r="N575" s="20"/>
      <c r="O575" s="20"/>
      <c r="P575" s="20"/>
    </row>
    <row r="576" spans="14:16" ht="13.5">
      <c r="N576" s="20"/>
      <c r="O576" s="20"/>
      <c r="P576" s="20"/>
    </row>
    <row r="577" spans="14:16" ht="13.5">
      <c r="N577" s="20"/>
      <c r="O577" s="20"/>
      <c r="P577" s="20"/>
    </row>
    <row r="578" spans="14:16" ht="13.5">
      <c r="N578" s="20"/>
      <c r="O578" s="20"/>
      <c r="P578" s="20"/>
    </row>
    <row r="579" spans="14:16" ht="13.5">
      <c r="N579" s="20"/>
      <c r="O579" s="20"/>
      <c r="P579" s="20"/>
    </row>
    <row r="580" spans="14:16" ht="13.5">
      <c r="N580" s="20"/>
      <c r="O580" s="20"/>
      <c r="P580" s="20"/>
    </row>
    <row r="581" spans="14:16" ht="13.5">
      <c r="N581" s="20"/>
      <c r="O581" s="20"/>
      <c r="P581" s="20"/>
    </row>
    <row r="582" spans="14:16" ht="13.5">
      <c r="N582" s="20"/>
      <c r="O582" s="20"/>
      <c r="P582" s="20"/>
    </row>
    <row r="583" spans="14:16" ht="13.5">
      <c r="N583" s="20"/>
      <c r="O583" s="20"/>
      <c r="P583" s="20"/>
    </row>
    <row r="584" spans="14:16" ht="13.5">
      <c r="N584" s="20"/>
      <c r="O584" s="20"/>
      <c r="P584" s="20"/>
    </row>
    <row r="585" spans="14:16" ht="13.5">
      <c r="N585" s="20"/>
      <c r="O585" s="20"/>
      <c r="P585" s="20"/>
    </row>
    <row r="586" spans="14:16" ht="13.5">
      <c r="N586" s="20"/>
      <c r="O586" s="20"/>
      <c r="P586" s="20"/>
    </row>
    <row r="587" spans="14:16" ht="13.5">
      <c r="N587" s="20"/>
      <c r="O587" s="20"/>
      <c r="P587" s="20"/>
    </row>
    <row r="588" spans="14:16" ht="13.5">
      <c r="N588" s="20"/>
      <c r="O588" s="20"/>
      <c r="P588" s="20"/>
    </row>
    <row r="589" spans="14:16" ht="13.5">
      <c r="N589" s="20"/>
      <c r="O589" s="20"/>
      <c r="P589" s="20"/>
    </row>
    <row r="590" spans="14:16" ht="13.5">
      <c r="N590" s="20"/>
      <c r="O590" s="20"/>
      <c r="P590" s="20"/>
    </row>
    <row r="591" spans="14:16" ht="13.5">
      <c r="N591" s="20"/>
      <c r="O591" s="20"/>
      <c r="P591" s="20"/>
    </row>
    <row r="592" spans="14:16" ht="13.5">
      <c r="N592" s="20"/>
      <c r="O592" s="20"/>
      <c r="P592" s="20"/>
    </row>
    <row r="593" spans="14:16" ht="13.5">
      <c r="N593" s="20"/>
      <c r="O593" s="20"/>
      <c r="P593" s="20"/>
    </row>
    <row r="594" spans="14:16" ht="13.5">
      <c r="N594" s="20"/>
      <c r="O594" s="20"/>
      <c r="P594" s="20"/>
    </row>
    <row r="595" spans="14:16" ht="13.5">
      <c r="N595" s="20"/>
      <c r="O595" s="20"/>
      <c r="P595" s="20"/>
    </row>
    <row r="596" spans="14:16" ht="13.5">
      <c r="N596" s="20"/>
      <c r="O596" s="20"/>
      <c r="P596" s="20"/>
    </row>
    <row r="597" spans="14:16" ht="13.5">
      <c r="N597" s="20"/>
      <c r="O597" s="20"/>
      <c r="P597" s="20"/>
    </row>
    <row r="598" spans="14:16" ht="13.5">
      <c r="N598" s="20"/>
      <c r="O598" s="20"/>
      <c r="P598" s="20"/>
    </row>
    <row r="599" spans="14:16" ht="13.5">
      <c r="N599" s="20"/>
      <c r="O599" s="20"/>
      <c r="P599" s="20"/>
    </row>
    <row r="600" spans="14:16" ht="13.5">
      <c r="N600" s="20"/>
      <c r="O600" s="20"/>
      <c r="P600" s="20"/>
    </row>
    <row r="601" spans="14:16" ht="13.5">
      <c r="N601" s="20"/>
      <c r="O601" s="20"/>
      <c r="P601" s="20"/>
    </row>
    <row r="602" spans="14:16" ht="13.5">
      <c r="N602" s="20"/>
      <c r="O602" s="20"/>
      <c r="P602" s="20"/>
    </row>
    <row r="603" spans="14:16" ht="13.5">
      <c r="N603" s="20"/>
      <c r="O603" s="20"/>
      <c r="P603" s="20"/>
    </row>
    <row r="604" spans="14:16" ht="13.5">
      <c r="N604" s="20"/>
      <c r="O604" s="20"/>
      <c r="P604" s="20"/>
    </row>
    <row r="605" spans="14:16" ht="13.5">
      <c r="N605" s="20"/>
      <c r="O605" s="20"/>
      <c r="P605" s="20"/>
    </row>
    <row r="606" spans="14:16" ht="13.5">
      <c r="N606" s="20"/>
      <c r="O606" s="20"/>
      <c r="P606" s="20"/>
    </row>
    <row r="607" spans="14:16" ht="13.5">
      <c r="N607" s="20"/>
      <c r="O607" s="20"/>
      <c r="P607" s="20"/>
    </row>
    <row r="608" spans="14:16" ht="13.5">
      <c r="N608" s="20"/>
      <c r="O608" s="20"/>
      <c r="P608" s="20"/>
    </row>
    <row r="609" spans="14:16" ht="13.5">
      <c r="N609" s="20"/>
      <c r="O609" s="20"/>
      <c r="P609" s="20"/>
    </row>
    <row r="610" spans="14:16" ht="13.5">
      <c r="N610" s="20"/>
      <c r="O610" s="20"/>
      <c r="P610" s="20"/>
    </row>
    <row r="611" spans="14:16" ht="13.5">
      <c r="N611" s="20"/>
      <c r="O611" s="20"/>
      <c r="P611" s="20"/>
    </row>
    <row r="612" spans="14:16" ht="13.5">
      <c r="N612" s="20"/>
      <c r="O612" s="20"/>
      <c r="P612" s="20"/>
    </row>
    <row r="613" spans="14:16" ht="13.5">
      <c r="N613" s="20"/>
      <c r="O613" s="20"/>
      <c r="P613" s="20"/>
    </row>
    <row r="614" spans="14:16" ht="13.5">
      <c r="N614" s="20"/>
      <c r="O614" s="20"/>
      <c r="P614" s="20"/>
    </row>
    <row r="615" spans="14:16" ht="13.5">
      <c r="N615" s="20"/>
      <c r="O615" s="20"/>
      <c r="P615" s="20"/>
    </row>
    <row r="616" spans="14:16" ht="13.5">
      <c r="N616" s="20"/>
      <c r="O616" s="20"/>
      <c r="P616" s="20"/>
    </row>
    <row r="617" spans="14:16" ht="13.5">
      <c r="N617" s="20"/>
      <c r="O617" s="20"/>
      <c r="P617" s="20"/>
    </row>
    <row r="618" spans="14:16" ht="13.5">
      <c r="N618" s="20"/>
      <c r="O618" s="20"/>
      <c r="P618" s="20"/>
    </row>
    <row r="619" spans="14:16" ht="13.5">
      <c r="N619" s="20"/>
      <c r="O619" s="20"/>
      <c r="P619" s="20"/>
    </row>
    <row r="620" spans="14:16" ht="13.5">
      <c r="N620" s="20"/>
      <c r="O620" s="20"/>
      <c r="P620" s="20"/>
    </row>
    <row r="621" spans="14:16" ht="13.5">
      <c r="N621" s="20"/>
      <c r="O621" s="20"/>
      <c r="P621" s="20"/>
    </row>
    <row r="622" spans="14:16" ht="13.5">
      <c r="N622" s="20"/>
      <c r="O622" s="20"/>
      <c r="P622" s="20"/>
    </row>
    <row r="623" spans="14:16" ht="13.5">
      <c r="N623" s="20"/>
      <c r="O623" s="20"/>
      <c r="P623" s="20"/>
    </row>
    <row r="624" spans="14:16" ht="13.5">
      <c r="N624" s="20"/>
      <c r="O624" s="20"/>
      <c r="P624" s="20"/>
    </row>
    <row r="625" spans="14:16" ht="13.5">
      <c r="N625" s="20"/>
      <c r="O625" s="20"/>
      <c r="P625" s="20"/>
    </row>
    <row r="626" spans="14:16" ht="13.5">
      <c r="N626" s="20"/>
      <c r="O626" s="20"/>
      <c r="P626" s="20"/>
    </row>
    <row r="627" spans="14:16" ht="13.5">
      <c r="N627" s="20"/>
      <c r="O627" s="20"/>
      <c r="P627" s="20"/>
    </row>
    <row r="628" spans="14:16" ht="13.5">
      <c r="N628" s="20"/>
      <c r="O628" s="20"/>
      <c r="P628" s="20"/>
    </row>
    <row r="629" spans="14:16" ht="13.5">
      <c r="N629" s="20"/>
      <c r="O629" s="20"/>
      <c r="P629" s="20"/>
    </row>
    <row r="630" spans="14:16" ht="13.5">
      <c r="N630" s="20"/>
      <c r="O630" s="20"/>
      <c r="P630" s="20"/>
    </row>
    <row r="631" spans="14:16" ht="13.5">
      <c r="N631" s="20"/>
      <c r="O631" s="20"/>
      <c r="P631" s="20"/>
    </row>
    <row r="632" spans="14:16" ht="13.5">
      <c r="N632" s="20"/>
      <c r="O632" s="20"/>
      <c r="P632" s="20"/>
    </row>
    <row r="633" spans="14:16" ht="13.5">
      <c r="N633" s="20"/>
      <c r="O633" s="20"/>
      <c r="P633" s="20"/>
    </row>
    <row r="634" spans="14:16" ht="13.5">
      <c r="N634" s="20"/>
      <c r="O634" s="20"/>
      <c r="P634" s="20"/>
    </row>
    <row r="635" spans="14:16" ht="13.5">
      <c r="N635" s="20"/>
      <c r="O635" s="20"/>
      <c r="P635" s="20"/>
    </row>
    <row r="636" spans="14:16" ht="13.5">
      <c r="N636" s="20"/>
      <c r="O636" s="20"/>
      <c r="P636" s="20"/>
    </row>
    <row r="637" spans="14:16" ht="13.5">
      <c r="N637" s="20"/>
      <c r="O637" s="20"/>
      <c r="P637" s="20"/>
    </row>
    <row r="638" spans="14:16" ht="13.5">
      <c r="N638" s="20"/>
      <c r="O638" s="20"/>
      <c r="P638" s="20"/>
    </row>
    <row r="639" spans="14:16" ht="13.5">
      <c r="N639" s="20"/>
      <c r="O639" s="20"/>
      <c r="P639" s="20"/>
    </row>
    <row r="640" spans="14:16" ht="13.5">
      <c r="N640" s="20"/>
      <c r="O640" s="20"/>
      <c r="P640" s="20"/>
    </row>
    <row r="641" spans="14:16" ht="13.5">
      <c r="N641" s="20"/>
      <c r="O641" s="20"/>
      <c r="P641" s="20"/>
    </row>
    <row r="642" spans="14:16" ht="13.5">
      <c r="N642" s="20"/>
      <c r="O642" s="20"/>
      <c r="P642" s="20"/>
    </row>
    <row r="643" spans="14:16" ht="13.5">
      <c r="N643" s="20"/>
      <c r="O643" s="20"/>
      <c r="P643" s="20"/>
    </row>
    <row r="644" spans="14:16" ht="13.5">
      <c r="N644" s="20"/>
      <c r="O644" s="20"/>
      <c r="P644" s="20"/>
    </row>
    <row r="645" spans="14:16" ht="13.5">
      <c r="N645" s="20"/>
      <c r="O645" s="20"/>
      <c r="P645" s="20"/>
    </row>
    <row r="646" spans="14:16" ht="13.5">
      <c r="N646" s="20"/>
      <c r="O646" s="20"/>
      <c r="P646" s="20"/>
    </row>
    <row r="647" spans="14:16" ht="13.5">
      <c r="N647" s="20"/>
      <c r="O647" s="20"/>
      <c r="P647" s="20"/>
    </row>
    <row r="648" spans="14:16" ht="13.5">
      <c r="N648" s="20"/>
      <c r="O648" s="20"/>
      <c r="P648" s="20"/>
    </row>
    <row r="649" spans="14:16" ht="13.5">
      <c r="N649" s="20"/>
      <c r="O649" s="20"/>
      <c r="P649" s="20"/>
    </row>
    <row r="650" spans="14:16" ht="13.5">
      <c r="N650" s="20"/>
      <c r="O650" s="20"/>
      <c r="P650" s="20"/>
    </row>
    <row r="651" spans="14:16" ht="13.5">
      <c r="N651" s="20"/>
      <c r="O651" s="20"/>
      <c r="P651" s="20"/>
    </row>
    <row r="652" spans="14:16" ht="13.5">
      <c r="N652" s="20"/>
      <c r="O652" s="20"/>
      <c r="P652" s="20"/>
    </row>
    <row r="653" spans="14:16" ht="13.5">
      <c r="N653" s="20"/>
      <c r="O653" s="20"/>
      <c r="P653" s="20"/>
    </row>
    <row r="654" spans="14:16" ht="13.5">
      <c r="N654" s="20"/>
      <c r="O654" s="20"/>
      <c r="P654" s="20"/>
    </row>
    <row r="655" spans="14:16" ht="13.5">
      <c r="N655" s="20"/>
      <c r="O655" s="20"/>
      <c r="P655" s="20"/>
    </row>
    <row r="656" spans="14:16" ht="13.5">
      <c r="N656" s="20"/>
      <c r="O656" s="20"/>
      <c r="P656" s="20"/>
    </row>
    <row r="657" spans="14:16" ht="13.5">
      <c r="N657" s="20"/>
      <c r="O657" s="20"/>
      <c r="P657" s="20"/>
    </row>
    <row r="658" spans="14:16" ht="13.5">
      <c r="N658" s="20"/>
      <c r="O658" s="20"/>
      <c r="P658" s="20"/>
    </row>
    <row r="659" spans="14:16" ht="13.5">
      <c r="N659" s="20"/>
      <c r="O659" s="20"/>
      <c r="P659" s="20"/>
    </row>
    <row r="660" spans="14:16" ht="13.5">
      <c r="N660" s="20"/>
      <c r="O660" s="20"/>
      <c r="P660" s="20"/>
    </row>
    <row r="661" spans="14:16" ht="13.5">
      <c r="N661" s="20"/>
      <c r="O661" s="20"/>
      <c r="P661" s="20"/>
    </row>
    <row r="662" spans="14:16" ht="13.5">
      <c r="N662" s="20"/>
      <c r="O662" s="20"/>
      <c r="P662" s="20"/>
    </row>
    <row r="663" spans="14:16" ht="13.5">
      <c r="N663" s="20"/>
      <c r="O663" s="20"/>
      <c r="P663" s="20"/>
    </row>
    <row r="664" spans="14:16" ht="13.5">
      <c r="N664" s="20"/>
      <c r="O664" s="20"/>
      <c r="P664" s="20"/>
    </row>
    <row r="665" spans="14:16" ht="13.5">
      <c r="N665" s="20"/>
      <c r="O665" s="20"/>
      <c r="P665" s="20"/>
    </row>
    <row r="666" spans="14:16" ht="13.5">
      <c r="N666" s="20"/>
      <c r="O666" s="20"/>
      <c r="P666" s="20"/>
    </row>
    <row r="667" spans="14:16" ht="13.5">
      <c r="N667" s="20"/>
      <c r="O667" s="20"/>
      <c r="P667" s="20"/>
    </row>
    <row r="668" spans="14:16" ht="13.5">
      <c r="N668" s="20"/>
      <c r="O668" s="20"/>
      <c r="P668" s="20"/>
    </row>
    <row r="669" spans="14:16" ht="13.5">
      <c r="N669" s="20"/>
      <c r="O669" s="20"/>
      <c r="P669" s="20"/>
    </row>
    <row r="670" spans="14:16" ht="13.5">
      <c r="N670" s="20"/>
      <c r="O670" s="20"/>
      <c r="P670" s="20"/>
    </row>
    <row r="671" spans="14:16" ht="13.5">
      <c r="N671" s="20"/>
      <c r="O671" s="20"/>
      <c r="P671" s="20"/>
    </row>
    <row r="672" spans="14:16" ht="13.5">
      <c r="N672" s="20"/>
      <c r="O672" s="20"/>
      <c r="P672" s="20"/>
    </row>
    <row r="673" spans="14:16" ht="13.5">
      <c r="N673" s="20"/>
      <c r="O673" s="20"/>
      <c r="P673" s="20"/>
    </row>
    <row r="674" spans="14:16" ht="13.5">
      <c r="N674" s="20"/>
      <c r="O674" s="20"/>
      <c r="P674" s="20"/>
    </row>
    <row r="675" spans="14:16" ht="13.5">
      <c r="N675" s="20"/>
      <c r="O675" s="20"/>
      <c r="P675" s="20"/>
    </row>
    <row r="676" spans="14:16" ht="13.5">
      <c r="N676" s="20"/>
      <c r="O676" s="20"/>
      <c r="P676" s="20"/>
    </row>
    <row r="677" spans="14:16" ht="13.5">
      <c r="N677" s="20"/>
      <c r="O677" s="20"/>
      <c r="P677" s="20"/>
    </row>
    <row r="678" spans="14:16" ht="13.5">
      <c r="N678" s="20"/>
      <c r="O678" s="20"/>
      <c r="P678" s="20"/>
    </row>
    <row r="679" spans="14:16" ht="13.5">
      <c r="N679" s="20"/>
      <c r="O679" s="20"/>
      <c r="P679" s="20"/>
    </row>
    <row r="680" spans="14:16" ht="13.5">
      <c r="N680" s="20"/>
      <c r="O680" s="20"/>
      <c r="P680" s="20"/>
    </row>
    <row r="681" spans="14:16" ht="13.5">
      <c r="N681" s="20"/>
      <c r="O681" s="20"/>
      <c r="P681" s="20"/>
    </row>
    <row r="682" spans="14:16" ht="13.5">
      <c r="N682" s="20"/>
      <c r="O682" s="20"/>
      <c r="P682" s="20"/>
    </row>
    <row r="683" spans="14:16" ht="13.5">
      <c r="N683" s="20"/>
      <c r="O683" s="20"/>
      <c r="P683" s="20"/>
    </row>
    <row r="684" spans="14:16" ht="13.5">
      <c r="N684" s="20"/>
      <c r="O684" s="20"/>
      <c r="P684" s="20"/>
    </row>
    <row r="685" spans="14:16" ht="13.5">
      <c r="N685" s="20"/>
      <c r="O685" s="20"/>
      <c r="P685" s="20"/>
    </row>
    <row r="686" spans="14:16" ht="13.5">
      <c r="N686" s="20"/>
      <c r="O686" s="20"/>
      <c r="P686" s="20"/>
    </row>
    <row r="687" spans="14:16" ht="13.5">
      <c r="N687" s="20"/>
      <c r="O687" s="20"/>
      <c r="P687" s="20"/>
    </row>
    <row r="688" spans="14:16" ht="13.5">
      <c r="N688" s="20"/>
      <c r="O688" s="20"/>
      <c r="P688" s="20"/>
    </row>
    <row r="689" spans="14:16" ht="13.5">
      <c r="N689" s="20"/>
      <c r="O689" s="20"/>
      <c r="P689" s="20"/>
    </row>
    <row r="690" spans="14:16" ht="13.5">
      <c r="N690" s="20"/>
      <c r="O690" s="20"/>
      <c r="P690" s="20"/>
    </row>
    <row r="691" spans="14:16" ht="13.5">
      <c r="N691" s="20"/>
      <c r="O691" s="20"/>
      <c r="P691" s="20"/>
    </row>
    <row r="692" spans="14:16" ht="13.5">
      <c r="N692" s="20"/>
      <c r="O692" s="20"/>
      <c r="P692" s="20"/>
    </row>
    <row r="693" spans="14:16" ht="13.5">
      <c r="N693" s="20"/>
      <c r="O693" s="20"/>
      <c r="P693" s="20"/>
    </row>
    <row r="694" spans="14:16" ht="13.5">
      <c r="N694" s="20"/>
      <c r="O694" s="20"/>
      <c r="P694" s="20"/>
    </row>
    <row r="695" spans="14:16" ht="13.5">
      <c r="N695" s="20"/>
      <c r="O695" s="20"/>
      <c r="P695" s="20"/>
    </row>
    <row r="696" spans="14:16" ht="13.5">
      <c r="N696" s="20"/>
      <c r="O696" s="20"/>
      <c r="P696" s="20"/>
    </row>
    <row r="697" spans="14:16" ht="13.5">
      <c r="N697" s="20"/>
      <c r="O697" s="20"/>
      <c r="P697" s="20"/>
    </row>
    <row r="698" spans="14:16" ht="13.5">
      <c r="N698" s="20"/>
      <c r="O698" s="20"/>
      <c r="P698" s="20"/>
    </row>
    <row r="699" spans="14:16" ht="13.5">
      <c r="N699" s="20"/>
      <c r="O699" s="20"/>
      <c r="P699" s="20"/>
    </row>
    <row r="700" spans="14:16" ht="13.5">
      <c r="N700" s="20"/>
      <c r="O700" s="20"/>
      <c r="P700" s="20"/>
    </row>
    <row r="701" spans="14:16" ht="13.5">
      <c r="N701" s="20"/>
      <c r="O701" s="20"/>
      <c r="P701" s="20"/>
    </row>
    <row r="702" spans="14:16" ht="13.5">
      <c r="N702" s="20"/>
      <c r="O702" s="20"/>
      <c r="P702" s="20"/>
    </row>
    <row r="703" spans="14:16" ht="13.5">
      <c r="N703" s="20"/>
      <c r="O703" s="20"/>
      <c r="P703" s="20"/>
    </row>
    <row r="704" spans="14:16" ht="13.5">
      <c r="N704" s="20"/>
      <c r="O704" s="20"/>
      <c r="P704" s="20"/>
    </row>
    <row r="705" spans="14:16" ht="13.5">
      <c r="N705" s="20"/>
      <c r="O705" s="20"/>
      <c r="P705" s="20"/>
    </row>
    <row r="706" spans="14:16" ht="13.5">
      <c r="N706" s="20"/>
      <c r="O706" s="20"/>
      <c r="P706" s="20"/>
    </row>
    <row r="707" spans="14:16" ht="13.5">
      <c r="N707" s="20"/>
      <c r="O707" s="20"/>
      <c r="P707" s="20"/>
    </row>
    <row r="708" spans="14:16" ht="13.5">
      <c r="N708" s="20"/>
      <c r="O708" s="20"/>
      <c r="P708" s="20"/>
    </row>
    <row r="709" spans="14:16" ht="13.5">
      <c r="N709" s="20"/>
      <c r="O709" s="20"/>
      <c r="P709" s="20"/>
    </row>
    <row r="710" spans="14:16" ht="13.5">
      <c r="N710" s="20"/>
      <c r="O710" s="20"/>
      <c r="P710" s="20"/>
    </row>
    <row r="711" spans="14:16" ht="13.5">
      <c r="N711" s="20"/>
      <c r="O711" s="20"/>
      <c r="P711" s="20"/>
    </row>
    <row r="712" spans="14:16" ht="13.5">
      <c r="N712" s="20"/>
      <c r="O712" s="20"/>
      <c r="P712" s="20"/>
    </row>
    <row r="713" spans="14:16" ht="13.5">
      <c r="N713" s="20"/>
      <c r="O713" s="20"/>
      <c r="P713" s="20"/>
    </row>
    <row r="714" spans="14:16" ht="13.5">
      <c r="N714" s="20"/>
      <c r="O714" s="20"/>
      <c r="P714" s="20"/>
    </row>
    <row r="715" spans="14:16" ht="13.5">
      <c r="N715" s="20"/>
      <c r="O715" s="20"/>
      <c r="P715" s="20"/>
    </row>
    <row r="716" spans="14:16" ht="13.5">
      <c r="N716" s="20"/>
      <c r="O716" s="20"/>
      <c r="P716" s="20"/>
    </row>
    <row r="717" spans="14:16" ht="13.5">
      <c r="N717" s="20"/>
      <c r="O717" s="20"/>
      <c r="P717" s="20"/>
    </row>
    <row r="718" spans="14:16" ht="13.5">
      <c r="N718" s="20"/>
      <c r="O718" s="20"/>
      <c r="P718" s="20"/>
    </row>
    <row r="719" spans="14:16" ht="13.5">
      <c r="N719" s="20"/>
      <c r="O719" s="20"/>
      <c r="P719" s="20"/>
    </row>
    <row r="720" spans="14:16" ht="13.5">
      <c r="N720" s="20"/>
      <c r="O720" s="20"/>
      <c r="P720" s="20"/>
    </row>
    <row r="721" spans="14:16" ht="13.5">
      <c r="N721" s="20"/>
      <c r="O721" s="20"/>
      <c r="P721" s="20"/>
    </row>
    <row r="722" spans="14:16" ht="13.5">
      <c r="N722" s="20"/>
      <c r="O722" s="20"/>
      <c r="P722" s="20"/>
    </row>
    <row r="723" spans="14:16" ht="13.5">
      <c r="N723" s="20"/>
      <c r="O723" s="20"/>
      <c r="P723" s="20"/>
    </row>
    <row r="724" spans="14:16" ht="13.5">
      <c r="N724" s="20"/>
      <c r="O724" s="20"/>
      <c r="P724" s="20"/>
    </row>
    <row r="725" spans="14:16" ht="13.5">
      <c r="N725" s="20"/>
      <c r="O725" s="20"/>
      <c r="P725" s="20"/>
    </row>
    <row r="726" spans="14:16" ht="13.5">
      <c r="N726" s="20"/>
      <c r="O726" s="20"/>
      <c r="P726" s="20"/>
    </row>
    <row r="727" spans="14:16" ht="13.5">
      <c r="N727" s="20"/>
      <c r="O727" s="20"/>
      <c r="P727" s="20"/>
    </row>
    <row r="728" spans="14:16" ht="13.5">
      <c r="N728" s="20"/>
      <c r="O728" s="20"/>
      <c r="P728" s="20"/>
    </row>
    <row r="729" spans="14:16" ht="13.5">
      <c r="N729" s="20"/>
      <c r="O729" s="20"/>
      <c r="P729" s="20"/>
    </row>
    <row r="730" spans="14:16" ht="13.5">
      <c r="N730" s="20"/>
      <c r="O730" s="20"/>
      <c r="P730" s="20"/>
    </row>
    <row r="731" spans="14:16" ht="13.5">
      <c r="N731" s="20"/>
      <c r="O731" s="20"/>
      <c r="P731" s="20"/>
    </row>
    <row r="732" spans="14:16" ht="13.5">
      <c r="N732" s="20"/>
      <c r="O732" s="20"/>
      <c r="P732" s="20"/>
    </row>
    <row r="733" spans="14:16" ht="13.5">
      <c r="N733" s="20"/>
      <c r="O733" s="20"/>
      <c r="P733" s="20"/>
    </row>
    <row r="734" spans="14:16" ht="13.5">
      <c r="N734" s="20"/>
      <c r="O734" s="20"/>
      <c r="P734" s="20"/>
    </row>
    <row r="735" spans="14:16" ht="13.5">
      <c r="N735" s="20"/>
      <c r="O735" s="20"/>
      <c r="P735" s="20"/>
    </row>
    <row r="736" spans="14:16" ht="13.5">
      <c r="N736" s="20"/>
      <c r="O736" s="20"/>
      <c r="P736" s="20"/>
    </row>
    <row r="737" spans="14:16" ht="13.5">
      <c r="N737" s="20"/>
      <c r="O737" s="20"/>
      <c r="P737" s="20"/>
    </row>
    <row r="738" spans="14:16" ht="13.5">
      <c r="N738" s="20"/>
      <c r="O738" s="20"/>
      <c r="P738" s="20"/>
    </row>
    <row r="739" spans="14:16" ht="13.5">
      <c r="N739" s="20"/>
      <c r="O739" s="20"/>
      <c r="P739" s="20"/>
    </row>
    <row r="740" spans="14:16" ht="13.5">
      <c r="N740" s="20"/>
      <c r="O740" s="20"/>
      <c r="P740" s="20"/>
    </row>
    <row r="741" spans="14:16" ht="13.5">
      <c r="N741" s="20"/>
      <c r="O741" s="20"/>
      <c r="P741" s="20"/>
    </row>
    <row r="742" spans="14:16" ht="13.5">
      <c r="N742" s="20"/>
      <c r="O742" s="20"/>
      <c r="P742" s="20"/>
    </row>
    <row r="743" spans="14:16" ht="13.5">
      <c r="N743" s="20"/>
      <c r="O743" s="20"/>
      <c r="P743" s="20"/>
    </row>
    <row r="744" spans="14:16" ht="13.5">
      <c r="N744" s="20"/>
      <c r="O744" s="20"/>
      <c r="P744" s="20"/>
    </row>
    <row r="745" spans="14:16" ht="13.5">
      <c r="N745" s="20"/>
      <c r="O745" s="20"/>
      <c r="P745" s="20"/>
    </row>
    <row r="746" spans="14:16" ht="13.5">
      <c r="N746" s="20"/>
      <c r="O746" s="20"/>
      <c r="P746" s="20"/>
    </row>
    <row r="747" spans="14:16" ht="13.5">
      <c r="N747" s="20"/>
      <c r="O747" s="20"/>
      <c r="P747" s="20"/>
    </row>
    <row r="748" spans="14:16" ht="13.5">
      <c r="N748" s="20"/>
      <c r="O748" s="20"/>
      <c r="P748" s="20"/>
    </row>
    <row r="749" spans="14:16" ht="13.5">
      <c r="N749" s="20"/>
      <c r="O749" s="20"/>
      <c r="P749" s="20"/>
    </row>
    <row r="750" spans="14:16" ht="13.5">
      <c r="N750" s="20"/>
      <c r="O750" s="20"/>
      <c r="P750" s="20"/>
    </row>
    <row r="751" spans="14:16" ht="13.5">
      <c r="N751" s="20"/>
      <c r="O751" s="20"/>
      <c r="P751" s="20"/>
    </row>
  </sheetData>
  <sheetProtection sheet="1" objects="1" scenarios="1"/>
  <mergeCells count="11">
    <mergeCell ref="R1:U1"/>
    <mergeCell ref="R2:S2"/>
    <mergeCell ref="T2:U2"/>
    <mergeCell ref="I1:P1"/>
    <mergeCell ref="N2:O2"/>
    <mergeCell ref="B2:C2"/>
    <mergeCell ref="D2:E2"/>
    <mergeCell ref="L2:M2"/>
    <mergeCell ref="I2:J2"/>
    <mergeCell ref="F2:G2"/>
    <mergeCell ref="P2:Q2"/>
  </mergeCells>
  <printOptions/>
  <pageMargins left="0.787401575" right="0.787401575" top="0.78" bottom="0.51" header="0.57" footer="0.36"/>
  <pageSetup horizontalDpi="600" verticalDpi="600" orientation="landscape" paperSize="9" scale="42" r:id="rId2"/>
  <headerFooter alignWithMargins="0">
    <oddHeader>&amp;C&amp;"Arial,Fett"&amp;18&amp;A</oddHeader>
    <oddFooter>&amp;L&amp;"Arial Narrow,Standard"&amp;8&amp;F&amp;C&amp;"Arial,Fett"&amp;12&amp;A&amp;R&amp;"Arial Narrow,Standard"&amp;8Bladt: 10.02.2011
Print: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15"/>
  </sheetPr>
  <dimension ref="A5:E44"/>
  <sheetViews>
    <sheetView showGridLines="0" zoomScalePageLayoutView="0" workbookViewId="0" topLeftCell="A1">
      <selection activeCell="G27" sqref="G27"/>
    </sheetView>
  </sheetViews>
  <sheetFormatPr defaultColWidth="11.421875" defaultRowHeight="12.75"/>
  <cols>
    <col min="1" max="1" width="34.28125" style="0" customWidth="1"/>
    <col min="3" max="3" width="36.28125" style="0" customWidth="1"/>
    <col min="4" max="4" width="14.00390625" style="0" bestFit="1" customWidth="1"/>
    <col min="5" max="5" width="7.28125" style="0" customWidth="1"/>
  </cols>
  <sheetData>
    <row r="5" spans="1:4" ht="13.5">
      <c r="A5" s="490" t="s">
        <v>318</v>
      </c>
      <c r="B5" s="491"/>
      <c r="C5" s="491"/>
      <c r="D5" s="491"/>
    </row>
    <row r="7" spans="1:4" ht="15">
      <c r="A7" s="58" t="s">
        <v>140</v>
      </c>
      <c r="B7" s="17" t="s">
        <v>142</v>
      </c>
      <c r="C7" s="17" t="s">
        <v>143</v>
      </c>
      <c r="D7" s="299">
        <f>Val!D11</f>
        <v>0.0004999999350300061</v>
      </c>
    </row>
    <row r="8" spans="1:4" ht="15">
      <c r="A8" s="58" t="s">
        <v>141</v>
      </c>
      <c r="B8" s="17" t="s">
        <v>169</v>
      </c>
      <c r="C8" s="17" t="s">
        <v>144</v>
      </c>
      <c r="D8" s="299">
        <f>Val!D12</f>
        <v>0.0004999999350300061</v>
      </c>
    </row>
    <row r="9" spans="1:4" ht="15">
      <c r="A9" s="58" t="s">
        <v>175</v>
      </c>
      <c r="B9" s="17" t="s">
        <v>20</v>
      </c>
      <c r="C9" s="59" t="s">
        <v>6</v>
      </c>
      <c r="D9" s="299">
        <f>Val!D13</f>
        <v>0.0003</v>
      </c>
    </row>
    <row r="10" spans="1:4" ht="15">
      <c r="A10" s="58" t="s">
        <v>180</v>
      </c>
      <c r="B10" s="17" t="s">
        <v>167</v>
      </c>
      <c r="C10" s="59" t="s">
        <v>6</v>
      </c>
      <c r="D10" s="299">
        <f>Val!D14</f>
        <v>0.0003</v>
      </c>
    </row>
    <row r="11" spans="1:4" ht="15">
      <c r="A11" s="58" t="s">
        <v>181</v>
      </c>
      <c r="B11" s="17" t="s">
        <v>168</v>
      </c>
      <c r="C11" s="59" t="s">
        <v>6</v>
      </c>
      <c r="D11" s="299">
        <f>Val!D15</f>
        <v>0.0001</v>
      </c>
    </row>
    <row r="12" spans="1:4" ht="14.25" hidden="1">
      <c r="A12" s="174" t="s">
        <v>194</v>
      </c>
      <c r="B12" s="175" t="s">
        <v>227</v>
      </c>
      <c r="C12" s="175" t="s">
        <v>300</v>
      </c>
      <c r="D12" s="176" t="e">
        <f>Val!#REF!</f>
        <v>#REF!</v>
      </c>
    </row>
    <row r="13" spans="1:4" ht="14.25" hidden="1">
      <c r="A13" s="174" t="s">
        <v>195</v>
      </c>
      <c r="B13" s="175" t="s">
        <v>198</v>
      </c>
      <c r="C13" s="175" t="s">
        <v>199</v>
      </c>
      <c r="D13" s="176" t="e">
        <f>Val!#REF!</f>
        <v>#REF!</v>
      </c>
    </row>
    <row r="14" spans="1:4" ht="15" customHeight="1" hidden="1">
      <c r="A14" s="181" t="s">
        <v>195</v>
      </c>
      <c r="B14" s="182" t="s">
        <v>252</v>
      </c>
      <c r="C14" s="320" t="s">
        <v>301</v>
      </c>
      <c r="D14" s="176" t="e">
        <f>-Val!#REF!</f>
        <v>#REF!</v>
      </c>
    </row>
    <row r="15" spans="1:4" ht="15" customHeight="1" hidden="1" thickBot="1">
      <c r="A15" s="177" t="s">
        <v>202</v>
      </c>
      <c r="B15" s="183" t="s">
        <v>200</v>
      </c>
      <c r="C15" s="178" t="s">
        <v>302</v>
      </c>
      <c r="D15" s="176" t="e">
        <f>Val!#REF!</f>
        <v>#REF!</v>
      </c>
    </row>
    <row r="16" spans="1:4" ht="13.5">
      <c r="A16" s="81" t="s">
        <v>124</v>
      </c>
      <c r="B16" s="48" t="s">
        <v>125</v>
      </c>
      <c r="C16" s="43"/>
      <c r="D16" s="300">
        <f>Val!D21</f>
        <v>1.293</v>
      </c>
    </row>
    <row r="17" spans="1:4" ht="15">
      <c r="A17" s="58" t="s">
        <v>11</v>
      </c>
      <c r="B17" s="17" t="s">
        <v>15</v>
      </c>
      <c r="C17" s="59" t="s">
        <v>6</v>
      </c>
      <c r="D17" s="300">
        <f>Val!D22</f>
        <v>287</v>
      </c>
    </row>
    <row r="18" spans="1:4" ht="15">
      <c r="A18" s="58" t="s">
        <v>118</v>
      </c>
      <c r="B18" s="17" t="s">
        <v>121</v>
      </c>
      <c r="C18" s="59" t="s">
        <v>6</v>
      </c>
      <c r="D18" s="300">
        <f>Val!D23</f>
        <v>1018</v>
      </c>
    </row>
    <row r="19" spans="1:4" ht="15">
      <c r="A19" s="58" t="s">
        <v>119</v>
      </c>
      <c r="B19" s="17" t="s">
        <v>120</v>
      </c>
      <c r="C19" s="17" t="s">
        <v>131</v>
      </c>
      <c r="D19" s="300">
        <f>Val!D24</f>
        <v>293</v>
      </c>
    </row>
    <row r="20" spans="1:4" ht="15">
      <c r="A20" s="58" t="s">
        <v>189</v>
      </c>
      <c r="B20" s="17" t="s">
        <v>12</v>
      </c>
      <c r="C20" s="17" t="s">
        <v>132</v>
      </c>
      <c r="D20" s="300">
        <f>Val!D25</f>
        <v>873</v>
      </c>
    </row>
    <row r="21" spans="1:4" ht="14.25">
      <c r="A21" s="58" t="s">
        <v>192</v>
      </c>
      <c r="B21" s="17" t="s">
        <v>164</v>
      </c>
      <c r="C21" s="17" t="s">
        <v>165</v>
      </c>
      <c r="D21" s="300">
        <f>Val!D26</f>
        <v>303</v>
      </c>
    </row>
    <row r="22" spans="1:4" ht="14.25">
      <c r="A22" s="58" t="s">
        <v>193</v>
      </c>
      <c r="B22" s="17" t="s">
        <v>30</v>
      </c>
      <c r="C22" s="87" t="str">
        <f>IF(Data!D23=1,"(TH-TC)/ln(TH/TC)","(TH+TC)/2")</f>
        <v>(TH+TC)/2</v>
      </c>
      <c r="D22" s="300">
        <f>Val!D27</f>
        <v>538.6491386665932</v>
      </c>
    </row>
    <row r="23" spans="1:4" ht="15">
      <c r="A23" s="58" t="s">
        <v>13</v>
      </c>
      <c r="B23" s="17" t="s">
        <v>72</v>
      </c>
      <c r="C23" s="59" t="s">
        <v>6</v>
      </c>
      <c r="D23" s="300">
        <f>Val!D28</f>
        <v>101300</v>
      </c>
    </row>
    <row r="24" spans="1:4" ht="15" thickBot="1">
      <c r="A24" s="305" t="s">
        <v>40</v>
      </c>
      <c r="B24" s="173" t="s">
        <v>71</v>
      </c>
      <c r="C24" s="173" t="s">
        <v>41</v>
      </c>
      <c r="D24" s="306">
        <f>Val!D29</f>
        <v>101300</v>
      </c>
    </row>
    <row r="25" ht="14.25" thickTop="1">
      <c r="D25" s="1"/>
    </row>
    <row r="26" spans="1:4" ht="14.25">
      <c r="A26" s="174" t="s">
        <v>194</v>
      </c>
      <c r="B26" s="175" t="s">
        <v>227</v>
      </c>
      <c r="C26" s="175" t="s">
        <v>331</v>
      </c>
      <c r="D26" s="176">
        <f>2*D18*D24*D7/D17/D20*(D20-D22)</f>
        <v>137.61427068092698</v>
      </c>
    </row>
    <row r="27" spans="1:4" ht="14.25">
      <c r="A27" s="174" t="s">
        <v>195</v>
      </c>
      <c r="B27" s="175" t="s">
        <v>198</v>
      </c>
      <c r="C27" s="175" t="s">
        <v>199</v>
      </c>
      <c r="D27" s="176"/>
    </row>
    <row r="28" spans="1:4" ht="15" customHeight="1">
      <c r="A28" s="181" t="s">
        <v>304</v>
      </c>
      <c r="B28" s="182" t="s">
        <v>252</v>
      </c>
      <c r="C28" s="182" t="s">
        <v>201</v>
      </c>
      <c r="D28" s="176">
        <f>2*D18*D24*D8/D17/D22*(D22-D21)</f>
        <v>157.193707506692</v>
      </c>
    </row>
    <row r="29" spans="1:4" ht="15" customHeight="1">
      <c r="A29" s="181" t="s">
        <v>202</v>
      </c>
      <c r="B29" s="339" t="s">
        <v>200</v>
      </c>
      <c r="C29" s="182" t="s">
        <v>303</v>
      </c>
      <c r="D29" s="340">
        <f>D26-D28</f>
        <v>-19.579436825765015</v>
      </c>
    </row>
    <row r="30" spans="1:4" ht="13.5">
      <c r="A30" s="341" t="s">
        <v>263</v>
      </c>
      <c r="B30" s="342"/>
      <c r="C30" s="342"/>
      <c r="D30" s="343"/>
    </row>
    <row r="31" spans="1:4" ht="15">
      <c r="A31" s="205" t="s">
        <v>196</v>
      </c>
      <c r="B31" s="86" t="s">
        <v>218</v>
      </c>
      <c r="C31" s="206" t="s">
        <v>219</v>
      </c>
      <c r="D31" s="207">
        <f>Val!D57</f>
        <v>81.63752937237825</v>
      </c>
    </row>
    <row r="32" spans="1:4" ht="15">
      <c r="A32" s="205" t="s">
        <v>197</v>
      </c>
      <c r="B32" s="86" t="s">
        <v>220</v>
      </c>
      <c r="C32" s="206" t="s">
        <v>221</v>
      </c>
      <c r="D32" s="207">
        <f>Val!D58</f>
        <v>-28.33467514299039</v>
      </c>
    </row>
    <row r="33" spans="1:5" ht="14.25">
      <c r="A33" s="205" t="s">
        <v>139</v>
      </c>
      <c r="B33" s="86" t="s">
        <v>207</v>
      </c>
      <c r="C33" s="86" t="s">
        <v>327</v>
      </c>
      <c r="D33" s="207">
        <f>Val!D59</f>
        <v>53.30285422938786</v>
      </c>
      <c r="E33" s="376">
        <f>-(D31+D32)</f>
        <v>-53.30285422938786</v>
      </c>
    </row>
    <row r="34" spans="1:5" ht="14.25">
      <c r="A34" s="344" t="s">
        <v>126</v>
      </c>
      <c r="B34" s="366" t="s">
        <v>324</v>
      </c>
      <c r="C34" s="378" t="s">
        <v>328</v>
      </c>
      <c r="D34" s="381">
        <f>(D31+D32)/(D31-D32)</f>
        <v>0.4846938775510204</v>
      </c>
      <c r="E34" s="377">
        <f>-D33/(D31-D33)</f>
        <v>-1.881188118811881</v>
      </c>
    </row>
    <row r="35" spans="1:4" ht="13.5">
      <c r="A35" s="348" t="s">
        <v>264</v>
      </c>
      <c r="B35" s="342"/>
      <c r="C35" s="342"/>
      <c r="D35" s="343"/>
    </row>
    <row r="36" spans="1:4" ht="14.25">
      <c r="A36" s="345" t="s">
        <v>43</v>
      </c>
      <c r="B36" s="346" t="s">
        <v>265</v>
      </c>
      <c r="C36" s="346" t="s">
        <v>273</v>
      </c>
      <c r="D36" s="347">
        <f>D7/D20+D8/D21</f>
        <v>2.222902413797448E-06</v>
      </c>
    </row>
    <row r="37" spans="1:4" ht="15">
      <c r="A37" s="301" t="s">
        <v>43</v>
      </c>
      <c r="B37" s="302" t="s">
        <v>32</v>
      </c>
      <c r="C37" s="302" t="s">
        <v>267</v>
      </c>
      <c r="D37" s="144">
        <f>Val!D38</f>
        <v>1.7467318757891461E-06</v>
      </c>
    </row>
    <row r="38" spans="1:4" ht="13.5">
      <c r="A38" s="301" t="s">
        <v>43</v>
      </c>
      <c r="B38" s="302" t="s">
        <v>266</v>
      </c>
      <c r="C38" s="302" t="s">
        <v>277</v>
      </c>
      <c r="D38" s="146">
        <f>D37/D36</f>
        <v>0.7857888249827187</v>
      </c>
    </row>
    <row r="39" spans="1:5" ht="14.25">
      <c r="A39" s="301" t="s">
        <v>44</v>
      </c>
      <c r="B39" s="303" t="s">
        <v>268</v>
      </c>
      <c r="C39" s="302" t="s">
        <v>269</v>
      </c>
      <c r="D39" s="146">
        <f>Val!D40</f>
        <v>1.236726067168984</v>
      </c>
      <c r="E39" s="184">
        <f>180/PI()*D39</f>
        <v>70.85918406259555</v>
      </c>
    </row>
    <row r="40" spans="1:4" s="140" customFormat="1" ht="15">
      <c r="A40" s="304" t="s">
        <v>79</v>
      </c>
      <c r="B40" s="302" t="s">
        <v>270</v>
      </c>
      <c r="C40" s="302" t="s">
        <v>271</v>
      </c>
      <c r="D40" s="139">
        <f>Val!D43</f>
        <v>101299.99999999999</v>
      </c>
    </row>
    <row r="41" spans="1:4" ht="15">
      <c r="A41" s="304" t="s">
        <v>196</v>
      </c>
      <c r="B41" s="302" t="s">
        <v>274</v>
      </c>
      <c r="C41" s="303" t="s">
        <v>272</v>
      </c>
      <c r="D41" s="145">
        <f>2*PI()*D40*(1-(1-D38^2)^0.5)/D38*SIN(D39)*D7</f>
        <v>145.96705719803126</v>
      </c>
    </row>
    <row r="42" spans="1:4" ht="15">
      <c r="A42" s="304" t="s">
        <v>197</v>
      </c>
      <c r="B42" s="302" t="s">
        <v>275</v>
      </c>
      <c r="C42" s="303" t="s">
        <v>278</v>
      </c>
      <c r="D42" s="145">
        <f>2*PI()*D40*(1-(1-D38^2)^0.5)/D38*(-SIN(D39+Val!$D$16)*D8)</f>
        <v>-50.662105762890576</v>
      </c>
    </row>
    <row r="43" spans="1:4" ht="14.25">
      <c r="A43" s="304" t="s">
        <v>139</v>
      </c>
      <c r="B43" s="302" t="s">
        <v>276</v>
      </c>
      <c r="C43" s="302" t="s">
        <v>330</v>
      </c>
      <c r="D43" s="379">
        <f>-(D42+D41)</f>
        <v>-95.30495143514068</v>
      </c>
    </row>
    <row r="44" spans="1:5" ht="14.25">
      <c r="A44" s="325" t="s">
        <v>126</v>
      </c>
      <c r="B44" s="365" t="s">
        <v>326</v>
      </c>
      <c r="C44" s="302" t="s">
        <v>329</v>
      </c>
      <c r="D44" s="380">
        <f>(D41+D42)/(D41-D42)</f>
        <v>0.4846938775510204</v>
      </c>
      <c r="E44" s="375">
        <f>D43/(D41-D43)</f>
        <v>-0.395010395010395</v>
      </c>
    </row>
  </sheetData>
  <sheetProtection/>
  <mergeCells count="1">
    <mergeCell ref="A5:D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2012-02-22T18:10:38Z</cp:lastPrinted>
  <dcterms:created xsi:type="dcterms:W3CDTF">2011-02-07T17:29:17Z</dcterms:created>
  <dcterms:modified xsi:type="dcterms:W3CDTF">2012-04-23T16:18:18Z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