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05" windowWidth="28515" windowHeight="12570" tabRatio="578" firstSheet="1" activeTab="2"/>
  </bookViews>
  <sheets>
    <sheet name="Tabelle3" sheetId="3" state="hidden" r:id="rId1"/>
    <sheet name="Bild" sheetId="7" r:id="rId2"/>
    <sheet name="calc-germ." sheetId="4" r:id="rId3"/>
    <sheet name="calc-engl." sheetId="8" r:id="rId4"/>
    <sheet name="Formeln" sheetId="1" state="hidden" r:id="rId5"/>
  </sheets>
  <calcPr calcId="145621"/>
</workbook>
</file>

<file path=xl/calcChain.xml><?xml version="1.0" encoding="utf-8"?>
<calcChain xmlns="http://schemas.openxmlformats.org/spreadsheetml/2006/main">
  <c r="E71" i="8" l="1"/>
  <c r="C71" i="8"/>
  <c r="E70" i="8"/>
  <c r="C70" i="8"/>
  <c r="E69" i="8"/>
  <c r="C69" i="8"/>
  <c r="E68" i="8"/>
  <c r="C68" i="8"/>
  <c r="E67" i="8"/>
  <c r="C67" i="8"/>
  <c r="F26" i="8"/>
  <c r="E26" i="8"/>
  <c r="E25" i="8"/>
  <c r="E24" i="8"/>
  <c r="E23" i="8"/>
  <c r="F20" i="8"/>
  <c r="E19" i="8"/>
  <c r="E48" i="8" s="1"/>
  <c r="F15" i="8"/>
  <c r="F14" i="8"/>
  <c r="F13" i="8"/>
  <c r="F11" i="8"/>
  <c r="F10" i="8"/>
  <c r="E71" i="4"/>
  <c r="C71" i="4"/>
  <c r="E70" i="4"/>
  <c r="C70" i="4"/>
  <c r="E69" i="4"/>
  <c r="C69" i="4"/>
  <c r="E68" i="4"/>
  <c r="C68" i="4"/>
  <c r="E67" i="4"/>
  <c r="C67" i="4"/>
  <c r="F26" i="4"/>
  <c r="E26" i="4"/>
  <c r="E25" i="4"/>
  <c r="E24" i="4"/>
  <c r="E23" i="4"/>
  <c r="F20" i="4"/>
  <c r="E19" i="4"/>
  <c r="F15" i="4"/>
  <c r="F14" i="4"/>
  <c r="F13" i="4"/>
  <c r="F11" i="4"/>
  <c r="F10" i="4"/>
  <c r="F24" i="4" l="1"/>
  <c r="F24" i="8"/>
  <c r="F19" i="8"/>
  <c r="F48" i="8" s="1"/>
  <c r="F49" i="8" s="1"/>
  <c r="E60" i="8"/>
  <c r="E61" i="8" s="1"/>
  <c r="E49" i="8"/>
  <c r="F23" i="8"/>
  <c r="F25" i="8"/>
  <c r="F23" i="4"/>
  <c r="F25" i="4"/>
  <c r="E48" i="4"/>
  <c r="F19" i="4"/>
  <c r="E28" i="4" l="1"/>
  <c r="E30" i="8"/>
  <c r="E28" i="8"/>
  <c r="E30" i="4"/>
  <c r="E29" i="4"/>
  <c r="E32" i="4" s="1"/>
  <c r="F48" i="4"/>
  <c r="F49" i="4" s="1"/>
  <c r="E60" i="4"/>
  <c r="E61" i="4" s="1"/>
  <c r="E49" i="4"/>
  <c r="E29" i="8" l="1"/>
  <c r="E32" i="8" s="1"/>
  <c r="E33" i="4"/>
  <c r="E34" i="4" s="1"/>
  <c r="E36" i="4" s="1"/>
  <c r="E33" i="8" l="1"/>
  <c r="E35" i="4"/>
  <c r="E40" i="4" s="1"/>
  <c r="E34" i="8" l="1"/>
  <c r="E35" i="8" s="1"/>
  <c r="E41" i="4"/>
  <c r="F40" i="4"/>
  <c r="F42" i="4" s="1"/>
  <c r="E42" i="4"/>
  <c r="E36" i="8" l="1"/>
  <c r="E40" i="8" s="1"/>
  <c r="E43" i="4"/>
  <c r="E45" i="4" s="1"/>
  <c r="E46" i="4"/>
  <c r="F41" i="4"/>
  <c r="E42" i="8" l="1"/>
  <c r="E41" i="8"/>
  <c r="E46" i="8" s="1"/>
  <c r="F40" i="8"/>
  <c r="F42" i="8" s="1"/>
  <c r="F43" i="4"/>
  <c r="F45" i="4" s="1"/>
  <c r="F46" i="4"/>
  <c r="E52" i="4" s="1"/>
  <c r="E53" i="4" s="1"/>
  <c r="E50" i="4"/>
  <c r="E51" i="4" s="1"/>
  <c r="E55" i="4"/>
  <c r="E56" i="4" s="1"/>
  <c r="E58" i="4"/>
  <c r="E47" i="4"/>
  <c r="D71" i="4"/>
  <c r="D70" i="4"/>
  <c r="D69" i="4"/>
  <c r="D68" i="4"/>
  <c r="D67" i="4"/>
  <c r="E43" i="8" l="1"/>
  <c r="E45" i="8" s="1"/>
  <c r="F41" i="8"/>
  <c r="F46" i="8" s="1"/>
  <c r="E50" i="8"/>
  <c r="E51" i="8" s="1"/>
  <c r="E55" i="8"/>
  <c r="E56" i="8" s="1"/>
  <c r="E47" i="8"/>
  <c r="F43" i="8"/>
  <c r="E59" i="4"/>
  <c r="F50" i="4"/>
  <c r="F51" i="4" s="1"/>
  <c r="F58" i="4"/>
  <c r="F59" i="4" s="1"/>
  <c r="F55" i="4"/>
  <c r="F56" i="4" s="1"/>
  <c r="F47" i="4"/>
  <c r="F71" i="4"/>
  <c r="F70" i="4"/>
  <c r="F69" i="4"/>
  <c r="F68" i="4"/>
  <c r="F67" i="4"/>
  <c r="E58" i="8" l="1"/>
  <c r="E59" i="8" s="1"/>
  <c r="D69" i="8"/>
  <c r="D70" i="8"/>
  <c r="D67" i="8"/>
  <c r="D71" i="8"/>
  <c r="D68" i="8"/>
  <c r="E63" i="4"/>
  <c r="F45" i="8"/>
  <c r="F69" i="8"/>
  <c r="F50" i="8"/>
  <c r="F51" i="8" s="1"/>
  <c r="F58" i="8"/>
  <c r="F59" i="8" s="1"/>
  <c r="F55" i="8"/>
  <c r="F56" i="8" s="1"/>
  <c r="F47" i="8"/>
  <c r="E52" i="8"/>
  <c r="E53" i="8" s="1"/>
  <c r="F71" i="8"/>
  <c r="F70" i="8"/>
  <c r="F68" i="8"/>
  <c r="F67" i="8"/>
  <c r="E62" i="4"/>
  <c r="E62" i="8" l="1"/>
  <c r="E63" i="8"/>
</calcChain>
</file>

<file path=xl/sharedStrings.xml><?xml version="1.0" encoding="utf-8"?>
<sst xmlns="http://schemas.openxmlformats.org/spreadsheetml/2006/main" count="314" uniqueCount="152">
  <si>
    <t>e</t>
  </si>
  <si>
    <t>mm</t>
  </si>
  <si>
    <t>.-.</t>
  </si>
  <si>
    <t>N/mm² [Mpa]</t>
  </si>
  <si>
    <t>Seite</t>
  </si>
  <si>
    <t>a</t>
  </si>
  <si>
    <t>b</t>
  </si>
  <si>
    <t>c</t>
  </si>
  <si>
    <t>f</t>
  </si>
  <si>
    <t>h</t>
  </si>
  <si>
    <t>N</t>
  </si>
  <si>
    <t>Bedingung / condition</t>
  </si>
  <si>
    <t xml:space="preserve"> </t>
  </si>
  <si>
    <t>Radius des rotierenden Innenteils</t>
  </si>
  <si>
    <t>Außenradius an den Seiten</t>
  </si>
  <si>
    <t>Innenradius an den Seiten</t>
  </si>
  <si>
    <t>axiles Spiel</t>
  </si>
  <si>
    <t>Durchmesserspiel bzgl. Rotation</t>
  </si>
  <si>
    <t>relative Exzentrizität</t>
  </si>
  <si>
    <t>zusammenfassende Größe</t>
  </si>
  <si>
    <t>Dimensionsloser Axialspalt</t>
  </si>
  <si>
    <t>Axialspalt</t>
  </si>
  <si>
    <t>l</t>
  </si>
  <si>
    <t>Winkelgeschwindigkeit</t>
  </si>
  <si>
    <t>w</t>
  </si>
  <si>
    <t>1/s</t>
  </si>
  <si>
    <t xml:space="preserve">Gesamt Volumenstrom </t>
  </si>
  <si>
    <t xml:space="preserve">Volumenstrom in Richtung L und R (Leckage) </t>
  </si>
  <si>
    <t>Volumenstrom zwischen den Zuführungen (Mitte)</t>
  </si>
  <si>
    <t>Leistungsverlust  L und R</t>
  </si>
  <si>
    <t>N/mm²</t>
  </si>
  <si>
    <t>Leistungsverlust  zwischen den Zuführungen</t>
  </si>
  <si>
    <t>N·s/mm²</t>
  </si>
  <si>
    <t>Gesamtleckage nach außen</t>
  </si>
  <si>
    <t>1 … 100 cP</t>
  </si>
  <si>
    <t>mm³/s</t>
  </si>
  <si>
    <t>l/min</t>
  </si>
  <si>
    <t>l/min³</t>
  </si>
  <si>
    <t>Druck zwischen Axial- und Radialspalt</t>
  </si>
  <si>
    <t>Gesamtleistungsverlust</t>
  </si>
  <si>
    <t>Nmm/s</t>
  </si>
  <si>
    <t>Zur Erwärmung führender Leistungverlust</t>
  </si>
  <si>
    <t>Infolge axialer Durchsrömung und Rotation</t>
  </si>
  <si>
    <t xml:space="preserve">         Leistungsverlust  L und R</t>
  </si>
  <si>
    <t xml:space="preserve">         Leistungsverlust  zwischen den Zuführungen</t>
  </si>
  <si>
    <r>
      <t>r</t>
    </r>
    <r>
      <rPr>
        <b/>
        <i/>
        <vertAlign val="subscript"/>
        <sz val="10"/>
        <color theme="1"/>
        <rFont val="Arial"/>
        <family val="2"/>
      </rPr>
      <t>a</t>
    </r>
  </si>
  <si>
    <r>
      <t>r</t>
    </r>
    <r>
      <rPr>
        <b/>
        <i/>
        <vertAlign val="subscript"/>
        <sz val="10"/>
        <color theme="1"/>
        <rFont val="Arial"/>
        <family val="2"/>
      </rPr>
      <t>i</t>
    </r>
  </si>
  <si>
    <r>
      <t>l</t>
    </r>
    <r>
      <rPr>
        <b/>
        <i/>
        <vertAlign val="subscript"/>
        <sz val="10"/>
        <color theme="1"/>
        <rFont val="Arial"/>
        <family val="2"/>
      </rPr>
      <t>M</t>
    </r>
  </si>
  <si>
    <r>
      <t>r</t>
    </r>
    <r>
      <rPr>
        <b/>
        <i/>
        <vertAlign val="subscript"/>
        <sz val="10"/>
        <color theme="1"/>
        <rFont val="Arial"/>
        <family val="2"/>
      </rPr>
      <t>m</t>
    </r>
  </si>
  <si>
    <r>
      <t>s</t>
    </r>
    <r>
      <rPr>
        <b/>
        <i/>
        <vertAlign val="subscript"/>
        <sz val="10"/>
        <color theme="1"/>
        <rFont val="Arial"/>
        <family val="2"/>
      </rPr>
      <t>ax</t>
    </r>
  </si>
  <si>
    <r>
      <t>s</t>
    </r>
    <r>
      <rPr>
        <b/>
        <i/>
        <vertAlign val="subscript"/>
        <sz val="10"/>
        <color theme="1"/>
        <rFont val="Arial"/>
        <family val="2"/>
      </rPr>
      <t>rad</t>
    </r>
  </si>
  <si>
    <r>
      <t>p</t>
    </r>
    <r>
      <rPr>
        <b/>
        <i/>
        <vertAlign val="subscript"/>
        <sz val="10"/>
        <color theme="1"/>
        <rFont val="Arial"/>
        <family val="2"/>
      </rPr>
      <t>z</t>
    </r>
  </si>
  <si>
    <r>
      <t>h*</t>
    </r>
    <r>
      <rPr>
        <b/>
        <vertAlign val="subscript"/>
        <sz val="10"/>
        <rFont val="Arial"/>
        <family val="2"/>
      </rPr>
      <t>ax</t>
    </r>
  </si>
  <si>
    <r>
      <t>p</t>
    </r>
    <r>
      <rPr>
        <b/>
        <vertAlign val="subscript"/>
        <sz val="10"/>
        <color rgb="FF002060"/>
        <rFont val="Arial"/>
        <family val="2"/>
      </rPr>
      <t>i</t>
    </r>
  </si>
  <si>
    <r>
      <t>kW=kN</t>
    </r>
    <r>
      <rPr>
        <sz val="10"/>
        <color theme="6" tint="-0.499984740745262"/>
        <rFont val="Arial"/>
        <family val="2"/>
      </rPr>
      <t>·</t>
    </r>
    <r>
      <rPr>
        <sz val="10"/>
        <color theme="6" tint="-0.499984740745262"/>
        <rFont val="Calibri"/>
        <family val="2"/>
        <scheme val="minor"/>
      </rPr>
      <t>m/s</t>
    </r>
  </si>
  <si>
    <r>
      <t>N</t>
    </r>
    <r>
      <rPr>
        <sz val="10"/>
        <rFont val="Arial"/>
        <family val="2"/>
      </rPr>
      <t>·</t>
    </r>
    <r>
      <rPr>
        <sz val="10"/>
        <rFont val="Calibri"/>
        <family val="2"/>
        <scheme val="minor"/>
      </rPr>
      <t>mm²/s</t>
    </r>
  </si>
  <si>
    <r>
      <t>kN</t>
    </r>
    <r>
      <rPr>
        <sz val="10"/>
        <rFont val="Arial"/>
        <family val="2"/>
      </rPr>
      <t>·</t>
    </r>
    <r>
      <rPr>
        <sz val="10"/>
        <rFont val="Calibri"/>
        <family val="2"/>
        <scheme val="minor"/>
      </rPr>
      <t>m/s</t>
    </r>
  </si>
  <si>
    <r>
      <t>l</t>
    </r>
    <r>
      <rPr>
        <i/>
        <vertAlign val="subscript"/>
        <sz val="10"/>
        <color theme="1"/>
        <rFont val="Arial"/>
        <family val="2"/>
      </rPr>
      <t>L</t>
    </r>
    <r>
      <rPr>
        <i/>
        <sz val="10"/>
        <color theme="1"/>
        <rFont val="Arial"/>
        <family val="2"/>
      </rPr>
      <t>&gt; 0</t>
    </r>
  </si>
  <si>
    <r>
      <t>r</t>
    </r>
    <r>
      <rPr>
        <i/>
        <vertAlign val="subscript"/>
        <sz val="10"/>
        <color theme="1"/>
        <rFont val="Arial"/>
        <family val="2"/>
      </rPr>
      <t>a</t>
    </r>
    <r>
      <rPr>
        <i/>
        <sz val="10"/>
        <color theme="1"/>
        <rFont val="Arial"/>
        <family val="2"/>
      </rPr>
      <t>&gt; r</t>
    </r>
    <r>
      <rPr>
        <i/>
        <vertAlign val="subscript"/>
        <sz val="10"/>
        <color theme="1"/>
        <rFont val="Arial"/>
        <family val="2"/>
      </rPr>
      <t>i</t>
    </r>
  </si>
  <si>
    <r>
      <t>l</t>
    </r>
    <r>
      <rPr>
        <i/>
        <vertAlign val="subscript"/>
        <sz val="10"/>
        <color theme="1"/>
        <rFont val="Arial"/>
        <family val="2"/>
      </rPr>
      <t xml:space="preserve">M </t>
    </r>
    <r>
      <rPr>
        <i/>
        <sz val="10"/>
        <color theme="1"/>
        <rFont val="Arial"/>
        <family val="2"/>
      </rPr>
      <t>&gt; 0</t>
    </r>
  </si>
  <si>
    <r>
      <t>s</t>
    </r>
    <r>
      <rPr>
        <i/>
        <vertAlign val="subscript"/>
        <sz val="10"/>
        <color theme="1"/>
        <rFont val="Arial"/>
        <family val="2"/>
      </rPr>
      <t xml:space="preserve">ax </t>
    </r>
    <r>
      <rPr>
        <i/>
        <sz val="10"/>
        <color theme="1"/>
        <rFont val="Arial"/>
        <family val="2"/>
      </rPr>
      <t>&gt; 0</t>
    </r>
  </si>
  <si>
    <r>
      <t>s</t>
    </r>
    <r>
      <rPr>
        <i/>
        <vertAlign val="subscript"/>
        <sz val="10"/>
        <color theme="1"/>
        <rFont val="Arial"/>
        <family val="2"/>
      </rPr>
      <t xml:space="preserve">rad </t>
    </r>
    <r>
      <rPr>
        <i/>
        <sz val="10"/>
        <color theme="1"/>
        <rFont val="Arial"/>
        <family val="2"/>
      </rPr>
      <t>&gt; 0</t>
    </r>
  </si>
  <si>
    <t>≥ 0</t>
  </si>
  <si>
    <t>0 &gt; e &gt; 1</t>
  </si>
  <si>
    <r>
      <t>r</t>
    </r>
    <r>
      <rPr>
        <i/>
        <vertAlign val="subscript"/>
        <sz val="10"/>
        <color theme="1"/>
        <rFont val="Arial"/>
        <family val="2"/>
      </rPr>
      <t xml:space="preserve">m </t>
    </r>
    <r>
      <rPr>
        <sz val="10"/>
        <color theme="1"/>
        <rFont val="Arial"/>
        <family val="2"/>
      </rPr>
      <t>≤</t>
    </r>
    <r>
      <rPr>
        <i/>
        <sz val="10"/>
        <color theme="1"/>
        <rFont val="Arial"/>
        <family val="2"/>
      </rPr>
      <t xml:space="preserve"> r</t>
    </r>
    <r>
      <rPr>
        <i/>
        <vertAlign val="subscript"/>
        <sz val="10"/>
        <color theme="1"/>
        <rFont val="Arial"/>
        <family val="2"/>
      </rPr>
      <t xml:space="preserve">i </t>
    </r>
  </si>
  <si>
    <t>V</t>
  </si>
  <si>
    <t>P</t>
  </si>
  <si>
    <t xml:space="preserve">         Pumpenleistung</t>
  </si>
  <si>
    <t>p</t>
  </si>
  <si>
    <t>q</t>
  </si>
  <si>
    <t>D</t>
  </si>
  <si>
    <t>Konstanten für die Berechnung</t>
  </si>
  <si>
    <t>D &gt; 0</t>
  </si>
  <si>
    <t>u</t>
  </si>
  <si>
    <t>v</t>
  </si>
  <si>
    <r>
      <t>r</t>
    </r>
    <r>
      <rPr>
        <i/>
        <vertAlign val="subscript"/>
        <sz val="10"/>
        <color theme="1"/>
        <rFont val="Arial"/>
        <family val="2"/>
      </rPr>
      <t>m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Calibri"/>
        <family val="2"/>
      </rPr>
      <t>≤</t>
    </r>
    <r>
      <rPr>
        <i/>
        <sz val="10"/>
        <color theme="1"/>
        <rFont val="Arial"/>
        <family val="2"/>
      </rPr>
      <t xml:space="preserve">  r</t>
    </r>
    <r>
      <rPr>
        <i/>
        <vertAlign val="subscript"/>
        <sz val="10"/>
        <color theme="1"/>
        <rFont val="Arial"/>
        <family val="2"/>
      </rPr>
      <t>i</t>
    </r>
    <r>
      <rPr>
        <i/>
        <sz val="10"/>
        <color theme="1"/>
        <rFont val="Arial"/>
        <family val="2"/>
      </rPr>
      <t>&lt;  r</t>
    </r>
    <r>
      <rPr>
        <i/>
        <vertAlign val="subscript"/>
        <sz val="10"/>
        <color theme="1"/>
        <rFont val="Arial"/>
        <family val="2"/>
      </rPr>
      <t>a</t>
    </r>
  </si>
  <si>
    <t>Axialkraft (Check)</t>
  </si>
  <si>
    <r>
      <t>F</t>
    </r>
    <r>
      <rPr>
        <vertAlign val="subscript"/>
        <sz val="8"/>
        <color theme="0" tint="-0.499984740745262"/>
        <rFont val="Arial"/>
        <family val="2"/>
      </rPr>
      <t>ax</t>
    </r>
  </si>
  <si>
    <r>
      <t>p</t>
    </r>
    <r>
      <rPr>
        <vertAlign val="subscript"/>
        <sz val="11"/>
        <color theme="1"/>
        <rFont val="Arial Narrow"/>
        <family val="2"/>
      </rPr>
      <t>L</t>
    </r>
    <r>
      <rPr>
        <sz val="11"/>
        <color theme="1"/>
        <rFont val="Arial Narrow"/>
        <family val="2"/>
      </rPr>
      <t>(r ) [N/mm²]</t>
    </r>
  </si>
  <si>
    <r>
      <t>p</t>
    </r>
    <r>
      <rPr>
        <vertAlign val="subscript"/>
        <sz val="11"/>
        <color theme="1"/>
        <rFont val="Arial Narrow"/>
        <family val="2"/>
      </rPr>
      <t>R</t>
    </r>
    <r>
      <rPr>
        <sz val="11"/>
        <color theme="1"/>
        <rFont val="Arial Narrow"/>
        <family val="2"/>
      </rPr>
      <t>(r ) [N/mm²]</t>
    </r>
  </si>
  <si>
    <r>
      <t>r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[mm]</t>
    </r>
  </si>
  <si>
    <r>
      <t>r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[mm]</t>
    </r>
  </si>
  <si>
    <r>
      <rPr>
        <b/>
        <sz val="10"/>
        <color rgb="FF0070C0"/>
        <rFont val="Arial"/>
        <family val="2"/>
      </rPr>
      <t xml:space="preserve">R </t>
    </r>
    <r>
      <rPr>
        <b/>
        <sz val="10"/>
        <color theme="1"/>
        <rFont val="Arial"/>
        <family val="2"/>
      </rPr>
      <t xml:space="preserve">                     Rechts  Right </t>
    </r>
  </si>
  <si>
    <r>
      <rPr>
        <b/>
        <sz val="10"/>
        <color rgb="FF0070C0"/>
        <rFont val="Arial"/>
        <family val="2"/>
      </rPr>
      <t xml:space="preserve">       L                       </t>
    </r>
    <r>
      <rPr>
        <b/>
        <sz val="10"/>
        <color theme="1"/>
        <rFont val="Arial"/>
        <family val="2"/>
      </rPr>
      <t xml:space="preserve">     Links  Left </t>
    </r>
  </si>
  <si>
    <r>
      <t>h</t>
    </r>
    <r>
      <rPr>
        <b/>
        <vertAlign val="subscript"/>
        <sz val="10"/>
        <color rgb="FFC00000"/>
        <rFont val="Arial"/>
        <family val="2"/>
      </rPr>
      <t>ax</t>
    </r>
  </si>
  <si>
    <t>Ölzuführungdruck (bezogen auf Umgebungsdruck)</t>
  </si>
  <si>
    <t>Verlauf der Axialdrücke</t>
  </si>
  <si>
    <t>)</t>
  </si>
  <si>
    <t>mittlere dymaische Viskosität</t>
  </si>
  <si>
    <r>
      <rPr>
        <sz val="6"/>
        <color rgb="FF7030A0"/>
        <rFont val="Arial"/>
        <family val="2"/>
      </rPr>
      <t>0,001·10</t>
    </r>
    <r>
      <rPr>
        <vertAlign val="superscript"/>
        <sz val="6"/>
        <color rgb="FF7030A0"/>
        <rFont val="Arial"/>
        <family val="2"/>
      </rPr>
      <t>-6</t>
    </r>
    <r>
      <rPr>
        <sz val="6"/>
        <color rgb="FF7030A0"/>
        <rFont val="Arial"/>
        <family val="2"/>
      </rPr>
      <t xml:space="preserve"> &lt;  h &lt; 0,1·10</t>
    </r>
    <r>
      <rPr>
        <vertAlign val="superscript"/>
        <sz val="6"/>
        <color rgb="FF7030A0"/>
        <rFont val="Arial"/>
        <family val="2"/>
      </rPr>
      <t>-6</t>
    </r>
    <r>
      <rPr>
        <sz val="6"/>
        <color theme="1"/>
        <rFont val="Arial"/>
        <family val="2"/>
      </rPr>
      <t xml:space="preserve">    1 N·s/m² =1 Pa·s= 1 P=1000 cP</t>
    </r>
  </si>
  <si>
    <r>
      <t>kW=N</t>
    </r>
    <r>
      <rPr>
        <sz val="10"/>
        <rFont val="Arial"/>
        <family val="2"/>
      </rPr>
      <t>·</t>
    </r>
    <r>
      <rPr>
        <sz val="10"/>
        <rFont val="Calibri"/>
        <family val="2"/>
        <scheme val="minor"/>
      </rPr>
      <t>m/s</t>
    </r>
  </si>
  <si>
    <t xml:space="preserve">        Gesamtverlustleistung</t>
  </si>
  <si>
    <t>Berechnung der Leckage an einer einfachen Druckölzuführung</t>
  </si>
  <si>
    <t>entsprechend der  in der Skizze dargestellten Ausführung</t>
  </si>
  <si>
    <t>http://www.jbladt.de/technik/maschinenelemente-machine-elements/</t>
  </si>
  <si>
    <t xml:space="preserve">Die Grundlagen der Berechnung sind zu finden  in der pdf-Datei http://www.jbladt.de/technik/maschinenelemente-machine-elements/ </t>
  </si>
  <si>
    <t>Calculation of the leakage of a simply oil supply in a rotary system</t>
  </si>
  <si>
    <t>corresponding to the embodiment illustrated in the sketch</t>
  </si>
  <si>
    <t xml:space="preserve">The basics of calculation can be found in the pdf-file http://www.jbladt.de/technik/maschinenelemente-machine-elements/ </t>
  </si>
  <si>
    <t>Calculation of the axial gaps, the leakage and the friction power of a simply oil supply</t>
  </si>
  <si>
    <t>Ermittlung der Axialspalte, der Leckage und der Reibleistung einer einfachen Ölzuführung</t>
  </si>
  <si>
    <t>g</t>
  </si>
  <si>
    <t>Inner radius at the sides</t>
  </si>
  <si>
    <t xml:space="preserve">Outer radius at the sides </t>
  </si>
  <si>
    <t>length of side parts</t>
  </si>
  <si>
    <t>Length of the middle part</t>
  </si>
  <si>
    <t>Radius of the rotating middle part</t>
  </si>
  <si>
    <t>Axial clearance</t>
  </si>
  <si>
    <t>Diameter of the rotating part</t>
  </si>
  <si>
    <t>relative Excentricity</t>
  </si>
  <si>
    <r>
      <t xml:space="preserve">Oil supply pressure </t>
    </r>
    <r>
      <rPr>
        <sz val="10"/>
        <color theme="1"/>
        <rFont val="Arial"/>
        <family val="2"/>
      </rPr>
      <t>(related to ambient pressure)</t>
    </r>
  </si>
  <si>
    <t>Mean dymamical viskosity</t>
  </si>
  <si>
    <t>Angular velocity</t>
  </si>
  <si>
    <t>Results</t>
  </si>
  <si>
    <t>Dimentionless axial gap Axialspalt</t>
  </si>
  <si>
    <t>Axial gap</t>
  </si>
  <si>
    <t>Pressure between  axial andRradial gap</t>
  </si>
  <si>
    <t>Axialk force(Check)</t>
  </si>
  <si>
    <t xml:space="preserve">Volume flow in  directiong L and R (leakage) </t>
  </si>
  <si>
    <t>Volume flow between the supplies (middle)</t>
  </si>
  <si>
    <t>compleatevolumenflow</t>
  </si>
  <si>
    <t>leakage outwards</t>
  </si>
  <si>
    <t>for heating leading power loss</t>
  </si>
  <si>
    <t>power loss at sides   L and R</t>
  </si>
  <si>
    <t>Power loss  between the supplies (middle)</t>
  </si>
  <si>
    <t xml:space="preserve">        Power loss  between the supplies  (middle)</t>
  </si>
  <si>
    <t xml:space="preserve">        Complete power loss</t>
  </si>
  <si>
    <t>Verlauf der Axialdrücke / Pressure at the sides</t>
  </si>
  <si>
    <t>due to axial flow and rotation</t>
  </si>
  <si>
    <r>
      <t>h*</t>
    </r>
    <r>
      <rPr>
        <b/>
        <i/>
        <vertAlign val="subscript"/>
        <sz val="10"/>
        <color rgb="FFFF0000"/>
        <rFont val="Arial"/>
        <family val="2"/>
      </rPr>
      <t xml:space="preserve">ax </t>
    </r>
    <r>
      <rPr>
        <b/>
        <i/>
        <sz val="10"/>
        <color rgb="FFFF0000"/>
        <rFont val="Arial"/>
        <family val="2"/>
      </rPr>
      <t xml:space="preserve">≥ </t>
    </r>
    <r>
      <rPr>
        <b/>
        <i/>
        <sz val="9"/>
        <color rgb="FFFF0000"/>
        <rFont val="Arial"/>
        <family val="2"/>
      </rPr>
      <t xml:space="preserve">0 , </t>
    </r>
    <r>
      <rPr>
        <b/>
        <sz val="9"/>
        <color rgb="FFFF0000"/>
        <rFont val="Arial"/>
        <family val="2"/>
      </rPr>
      <t>Σ</t>
    </r>
    <r>
      <rPr>
        <b/>
        <i/>
        <sz val="9"/>
        <color rgb="FFFF0000"/>
        <rFont val="Arial"/>
        <family val="2"/>
      </rPr>
      <t xml:space="preserve"> h*</t>
    </r>
    <r>
      <rPr>
        <b/>
        <i/>
        <vertAlign val="subscript"/>
        <sz val="9"/>
        <color rgb="FFFF0000"/>
        <rFont val="Arial"/>
        <family val="2"/>
      </rPr>
      <t>ax</t>
    </r>
    <r>
      <rPr>
        <b/>
        <i/>
        <sz val="9"/>
        <color rgb="FFFF0000"/>
        <rFont val="Arial"/>
        <family val="2"/>
      </rPr>
      <t>=1</t>
    </r>
  </si>
  <si>
    <t>Länge an der seitlichen Teile</t>
  </si>
  <si>
    <t>Länge in des mittelen Abschnitts</t>
  </si>
  <si>
    <t>Axialdrücke in Abhändigkeit vom Radius</t>
  </si>
  <si>
    <t>Umgebungsdruck</t>
  </si>
  <si>
    <r>
      <t>p</t>
    </r>
    <r>
      <rPr>
        <b/>
        <i/>
        <vertAlign val="subscript"/>
        <sz val="10"/>
        <color theme="1"/>
        <rFont val="Arial"/>
        <family val="2"/>
      </rPr>
      <t>a</t>
    </r>
  </si>
  <si>
    <t>Compelte power loss</t>
  </si>
  <si>
    <t>Ambiente pressure</t>
  </si>
  <si>
    <r>
      <rPr>
        <b/>
        <i/>
        <sz val="10"/>
        <color theme="1"/>
        <rFont val="Arial Narrow"/>
        <family val="2"/>
      </rPr>
      <t>p</t>
    </r>
    <r>
      <rPr>
        <b/>
        <i/>
        <vertAlign val="subscript"/>
        <sz val="10"/>
        <color theme="1"/>
        <rFont val="Arial Narrow"/>
        <family val="2"/>
      </rPr>
      <t>a</t>
    </r>
  </si>
  <si>
    <r>
      <t>p</t>
    </r>
    <r>
      <rPr>
        <vertAlign val="subscript"/>
        <sz val="10"/>
        <color theme="1"/>
        <rFont val="Arial Narrow"/>
        <family val="2"/>
      </rPr>
      <t>L</t>
    </r>
    <r>
      <rPr>
        <sz val="10"/>
        <color theme="1"/>
        <rFont val="Arial Narrow"/>
        <family val="2"/>
      </rPr>
      <t>(r ) [N/mm²]</t>
    </r>
  </si>
  <si>
    <r>
      <t>p</t>
    </r>
    <r>
      <rPr>
        <vertAlign val="subscript"/>
        <sz val="10"/>
        <color theme="1"/>
        <rFont val="Arial Narrow"/>
        <family val="2"/>
      </rPr>
      <t>R</t>
    </r>
    <r>
      <rPr>
        <sz val="10"/>
        <color theme="1"/>
        <rFont val="Arial Narrow"/>
        <family val="2"/>
      </rPr>
      <t>(r ) [N/mm²]</t>
    </r>
  </si>
  <si>
    <r>
      <t>r</t>
    </r>
    <r>
      <rPr>
        <vertAlign val="subscript"/>
        <sz val="10"/>
        <color theme="1"/>
        <rFont val="Arial Narrow"/>
        <family val="2"/>
      </rPr>
      <t>L</t>
    </r>
    <r>
      <rPr>
        <sz val="10"/>
        <color theme="1"/>
        <rFont val="Arial Narrow"/>
        <family val="2"/>
      </rPr>
      <t xml:space="preserve"> [mm]</t>
    </r>
  </si>
  <si>
    <r>
      <t>r</t>
    </r>
    <r>
      <rPr>
        <vertAlign val="subscript"/>
        <sz val="10"/>
        <color theme="1"/>
        <rFont val="Arial Narrow"/>
        <family val="2"/>
      </rPr>
      <t>R</t>
    </r>
    <r>
      <rPr>
        <sz val="10"/>
        <color theme="1"/>
        <rFont val="Arial Narrow"/>
        <family val="2"/>
      </rPr>
      <t xml:space="preserve"> [mm]</t>
    </r>
  </si>
  <si>
    <t>Side</t>
  </si>
  <si>
    <t>OZ_web_01.pdf</t>
  </si>
  <si>
    <t>Axial pressure as a funktion of radius</t>
  </si>
  <si>
    <t xml:space="preserve">         pump power</t>
  </si>
  <si>
    <t>Pump capacity to cover the power loss</t>
  </si>
  <si>
    <t>Pumpenleistung zur Deckung des Leistungsverlustes</t>
  </si>
  <si>
    <r>
      <rPr>
        <sz val="7"/>
        <color rgb="FF7030A0"/>
        <rFont val="Arial"/>
        <family val="2"/>
      </rPr>
      <t>0,001·10</t>
    </r>
    <r>
      <rPr>
        <vertAlign val="superscript"/>
        <sz val="7"/>
        <color rgb="FF7030A0"/>
        <rFont val="Arial"/>
        <family val="2"/>
      </rPr>
      <t>-6</t>
    </r>
    <r>
      <rPr>
        <sz val="7"/>
        <color rgb="FF7030A0"/>
        <rFont val="Arial"/>
        <family val="2"/>
      </rPr>
      <t xml:space="preserve"> &lt;  h &lt; 0,1·10</t>
    </r>
    <r>
      <rPr>
        <vertAlign val="superscript"/>
        <sz val="7"/>
        <color rgb="FF7030A0"/>
        <rFont val="Arial"/>
        <family val="2"/>
      </rPr>
      <t>-6</t>
    </r>
    <r>
      <rPr>
        <sz val="7"/>
        <color theme="1"/>
        <rFont val="Arial"/>
        <family val="2"/>
      </rPr>
      <t xml:space="preserve">    1 N·s/m² =1 Pa·s= 1 P=1000 cP</t>
    </r>
  </si>
  <si>
    <t xml:space="preserve"> Ermittlung der Axialspalte, der Leckage und der Reibleistung einer einfachen Ölzuführung</t>
  </si>
  <si>
    <r>
      <rPr>
        <b/>
        <sz val="14"/>
        <color rgb="FFC00000"/>
        <rFont val="Arial Narrow"/>
        <family val="2"/>
      </rPr>
      <t xml:space="preserve">Input  </t>
    </r>
    <r>
      <rPr>
        <b/>
        <sz val="11"/>
        <color rgb="FFC00000"/>
        <rFont val="Arial Narrow"/>
        <family val="2"/>
      </rPr>
      <t xml:space="preserve"> </t>
    </r>
    <r>
      <rPr>
        <sz val="10"/>
        <color theme="1"/>
        <rFont val="Arial Narrow"/>
        <family val="2"/>
      </rPr>
      <t xml:space="preserve">                                                                                                        </t>
    </r>
    <r>
      <rPr>
        <sz val="10"/>
        <color rgb="FFC00000"/>
        <rFont val="Arial Narrow"/>
        <family val="2"/>
      </rPr>
      <t xml:space="preserve">  </t>
    </r>
    <r>
      <rPr>
        <b/>
        <sz val="11"/>
        <color rgb="FF7030A0"/>
        <rFont val="Arial Narrow"/>
        <family val="2"/>
      </rPr>
      <t>only physically technically meaningful data lead to a result</t>
    </r>
  </si>
  <si>
    <r>
      <rPr>
        <b/>
        <sz val="11"/>
        <color rgb="FFC00000"/>
        <rFont val="Arial Narrow"/>
        <family val="2"/>
      </rPr>
      <t>INPUT</t>
    </r>
    <r>
      <rPr>
        <b/>
        <sz val="10"/>
        <color theme="1"/>
        <rFont val="Arial Narrow"/>
        <family val="2"/>
      </rPr>
      <t xml:space="preserve">                                                                                                       </t>
    </r>
    <r>
      <rPr>
        <b/>
        <sz val="9"/>
        <color rgb="FF7030A0"/>
        <rFont val="Arial Narrow"/>
        <family val="2"/>
      </rPr>
      <t>nur physikalisch-technisch sinnvolle Daten führen zum Ergebnis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</si>
</sst>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"/>
    <numFmt numFmtId="165" formatCode="#,##0.0"/>
    <numFmt numFmtId="166" formatCode="#,##0.0000"/>
    <numFmt numFmtId="167" formatCode="#,##0.00000"/>
    <numFmt numFmtId="168" formatCode="#,##0.000"/>
    <numFmt numFmtId="169" formatCode="#,##0.00000000"/>
    <numFmt numFmtId="170" formatCode="0.0"/>
    <numFmt numFmtId="171" formatCode="0.000"/>
  </numFmts>
  <fonts count="10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b/>
      <sz val="10"/>
      <name val="Arial"/>
      <family val="2"/>
    </font>
    <font>
      <sz val="10"/>
      <color theme="1"/>
      <name val="Arial Narrow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vertAlign val="subscript"/>
      <sz val="10"/>
      <color theme="1"/>
      <name val="Arial"/>
      <family val="2"/>
    </font>
    <font>
      <b/>
      <i/>
      <sz val="10"/>
      <color theme="1"/>
      <name val="Symbol"/>
      <family val="1"/>
      <charset val="2"/>
    </font>
    <font>
      <b/>
      <vertAlign val="subscript"/>
      <sz val="10"/>
      <name val="Arial"/>
      <family val="2"/>
    </font>
    <font>
      <b/>
      <sz val="10"/>
      <color rgb="FFC00000"/>
      <name val="Arial"/>
      <family val="2"/>
    </font>
    <font>
      <b/>
      <vertAlign val="subscript"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vertAlign val="subscript"/>
      <sz val="10"/>
      <color rgb="FF002060"/>
      <name val="Arial"/>
      <family val="2"/>
    </font>
    <font>
      <b/>
      <sz val="10"/>
      <color theme="6" tint="-0.499984740745262"/>
      <name val="Arial"/>
      <family val="2"/>
    </font>
    <font>
      <b/>
      <sz val="10"/>
      <color theme="9" tint="-0.499984740745262"/>
      <name val="Arial"/>
      <family val="2"/>
    </font>
    <font>
      <sz val="10"/>
      <color theme="9" tint="-0.499984740745262"/>
      <name val="Calibri"/>
      <family val="2"/>
      <scheme val="minor"/>
    </font>
    <font>
      <b/>
      <sz val="10"/>
      <color theme="9" tint="-0.499984740745262"/>
      <name val="Arial Narrow"/>
      <family val="2"/>
    </font>
    <font>
      <b/>
      <sz val="10"/>
      <color rgb="FF0070C0"/>
      <name val="Arial"/>
      <family val="2"/>
    </font>
    <font>
      <sz val="10"/>
      <color theme="3" tint="-0.249977111117893"/>
      <name val="Arial"/>
      <family val="2"/>
    </font>
    <font>
      <i/>
      <sz val="10"/>
      <color theme="1"/>
      <name val="Arial"/>
      <family val="2"/>
    </font>
    <font>
      <sz val="10"/>
      <color theme="4" tint="0.39997558519241921"/>
      <name val="Arial"/>
      <family val="2"/>
    </font>
    <font>
      <sz val="10"/>
      <color rgb="FFC00000"/>
      <name val="Arial"/>
      <family val="2"/>
    </font>
    <font>
      <i/>
      <sz val="10"/>
      <color theme="4" tint="0.39997558519241921"/>
      <name val="Arial"/>
      <family val="2"/>
    </font>
    <font>
      <b/>
      <sz val="10"/>
      <color rgb="FF7030A0"/>
      <name val="Arial"/>
      <family val="2"/>
    </font>
    <font>
      <sz val="10"/>
      <color rgb="FFC0000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6" tint="-0.499984740745262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9" tint="-0.499984740745262"/>
      <name val="Arial"/>
      <family val="2"/>
    </font>
    <font>
      <b/>
      <sz val="10"/>
      <color theme="1"/>
      <name val="Calibri"/>
      <family val="2"/>
      <scheme val="minor"/>
    </font>
    <font>
      <i/>
      <vertAlign val="subscript"/>
      <sz val="10"/>
      <color theme="1"/>
      <name val="Arial"/>
      <family val="2"/>
    </font>
    <font>
      <i/>
      <sz val="10"/>
      <color rgb="FFC00000"/>
      <name val="Arial"/>
      <family val="2"/>
    </font>
    <font>
      <sz val="10"/>
      <color rgb="FFC00000"/>
      <name val="Arial Narrow"/>
      <family val="2"/>
    </font>
    <font>
      <sz val="10"/>
      <color theme="6" tint="-0.499984740745262"/>
      <name val="Arial Narrow"/>
      <family val="2"/>
    </font>
    <font>
      <sz val="10"/>
      <color theme="9" tint="-0.499984740745262"/>
      <name val="Arial Narrow"/>
      <family val="2"/>
    </font>
    <font>
      <sz val="10"/>
      <color theme="1"/>
      <name val="Calibri"/>
      <family val="2"/>
    </font>
    <font>
      <b/>
      <sz val="9"/>
      <color rgb="FFFF0000"/>
      <name val="Arial"/>
      <family val="2"/>
    </font>
    <font>
      <sz val="8"/>
      <color theme="0" tint="-0.499984740745262"/>
      <name val="Arial"/>
      <family val="2"/>
    </font>
    <font>
      <vertAlign val="subscript"/>
      <sz val="8"/>
      <color theme="0" tint="-0.499984740745262"/>
      <name val="Arial"/>
      <family val="2"/>
    </font>
    <font>
      <sz val="8"/>
      <color theme="0" tint="-0.499984740745262"/>
      <name val="Calibri"/>
      <family val="2"/>
      <scheme val="minor"/>
    </font>
    <font>
      <vertAlign val="subscript"/>
      <sz val="11"/>
      <color theme="1"/>
      <name val="Arial Narrow"/>
      <family val="2"/>
    </font>
    <font>
      <vertAlign val="subscript"/>
      <sz val="11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i/>
      <vertAlign val="subscript"/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10"/>
      <color rgb="FFC00000"/>
      <name val="Arial Narrow"/>
      <family val="2"/>
    </font>
    <font>
      <i/>
      <sz val="10"/>
      <name val="Arial"/>
      <family val="2"/>
    </font>
    <font>
      <i/>
      <sz val="10"/>
      <color rgb="FF002060"/>
      <name val="Arial"/>
      <family val="2"/>
    </font>
    <font>
      <sz val="14"/>
      <color theme="1"/>
      <name val="Calibri"/>
      <family val="2"/>
      <scheme val="minor"/>
    </font>
    <font>
      <b/>
      <sz val="14"/>
      <color theme="4" tint="-0.249977111117893"/>
      <name val="Arial Narrow"/>
      <family val="2"/>
    </font>
    <font>
      <sz val="6"/>
      <color theme="1"/>
      <name val="Arial"/>
      <family val="2"/>
    </font>
    <font>
      <sz val="6"/>
      <color rgb="FF7030A0"/>
      <name val="Arial"/>
      <family val="2"/>
    </font>
    <font>
      <vertAlign val="superscript"/>
      <sz val="6"/>
      <color rgb="FF7030A0"/>
      <name val="Arial"/>
      <family val="2"/>
    </font>
    <font>
      <sz val="10"/>
      <color theme="3" tint="0.59999389629810485"/>
      <name val="Arial"/>
      <family val="2"/>
    </font>
    <font>
      <sz val="12"/>
      <color theme="1"/>
      <name val="Arial Narrow"/>
      <family val="2"/>
    </font>
    <font>
      <sz val="12"/>
      <color theme="4" tint="-0.249977111117893"/>
      <name val="Arial Narrow"/>
      <family val="2"/>
    </font>
    <font>
      <sz val="11"/>
      <color theme="4" tint="-0.249977111117893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4" tint="-0.249977111117893"/>
      <name val="Arial Narrow"/>
      <family val="2"/>
    </font>
    <font>
      <i/>
      <sz val="11"/>
      <color theme="4" tint="-0.249977111117893"/>
      <name val="Arial Narrow"/>
      <family val="2"/>
    </font>
    <font>
      <b/>
      <sz val="8"/>
      <color rgb="FFC5F5FF"/>
      <name val="Arial"/>
      <family val="2"/>
    </font>
    <font>
      <b/>
      <i/>
      <sz val="8"/>
      <color rgb="FFC5F5FF"/>
      <name val="Arial"/>
      <family val="2"/>
    </font>
    <font>
      <sz val="8"/>
      <color rgb="FFC5F5FF"/>
      <name val="Arial"/>
      <family val="2"/>
    </font>
    <font>
      <i/>
      <sz val="8"/>
      <color rgb="FFC5F5FF"/>
      <name val="Arial"/>
      <family val="2"/>
    </font>
    <font>
      <i/>
      <sz val="8"/>
      <color rgb="FFC5F5FF"/>
      <name val="Symbol"/>
      <family val="1"/>
      <charset val="2"/>
    </font>
    <font>
      <b/>
      <sz val="8"/>
      <color rgb="FFC5F5FF"/>
      <name val="Symbol"/>
      <family val="1"/>
      <charset val="2"/>
    </font>
    <font>
      <b/>
      <sz val="11"/>
      <color rgb="FFC00000"/>
      <name val="Arial Narrow"/>
      <family val="2"/>
    </font>
    <font>
      <b/>
      <sz val="11"/>
      <color rgb="FFC00000"/>
      <name val="Arial"/>
      <family val="2"/>
    </font>
    <font>
      <b/>
      <i/>
      <vertAlign val="subscript"/>
      <sz val="9"/>
      <color rgb="FFFF0000"/>
      <name val="Arial"/>
      <family val="2"/>
    </font>
    <font>
      <i/>
      <sz val="10"/>
      <color theme="3" tint="-0.249977111117893"/>
      <name val="Arial"/>
      <family val="2"/>
    </font>
    <font>
      <b/>
      <i/>
      <sz val="10"/>
      <color theme="1"/>
      <name val="Arial Narrow"/>
      <family val="2"/>
    </font>
    <font>
      <b/>
      <i/>
      <vertAlign val="subscript"/>
      <sz val="10"/>
      <color theme="1"/>
      <name val="Arial Narrow"/>
      <family val="2"/>
    </font>
    <font>
      <sz val="9"/>
      <color theme="1"/>
      <name val="Arial"/>
      <family val="2"/>
    </font>
    <font>
      <vertAlign val="subscript"/>
      <sz val="10"/>
      <color theme="1"/>
      <name val="Arial Narrow"/>
      <family val="2"/>
    </font>
    <font>
      <sz val="4"/>
      <color theme="1"/>
      <name val="Calibri"/>
      <family val="2"/>
      <scheme val="minor"/>
    </font>
    <font>
      <sz val="4"/>
      <color theme="1"/>
      <name val="Arial"/>
      <family val="2"/>
    </font>
    <font>
      <i/>
      <sz val="14"/>
      <color theme="4" tint="-0.249977111117893"/>
      <name val="Arial Narrow"/>
      <family val="2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4" tint="-0.249977111117893"/>
      <name val="Arial Narrow"/>
      <family val="2"/>
    </font>
    <font>
      <i/>
      <sz val="16"/>
      <color theme="4" tint="-0.249977111117893"/>
      <name val="Calibri"/>
      <family val="2"/>
      <scheme val="minor"/>
    </font>
    <font>
      <sz val="11"/>
      <color rgb="FF002060"/>
      <name val="Calibri"/>
      <family val="2"/>
    </font>
    <font>
      <b/>
      <sz val="20"/>
      <color theme="4" tint="-0.249977111117893"/>
      <name val="Arial Narrow"/>
      <family val="2"/>
    </font>
    <font>
      <b/>
      <sz val="14"/>
      <color rgb="FFC00000"/>
      <name val="Arial Narrow"/>
      <family val="2"/>
    </font>
    <font>
      <sz val="6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10"/>
      <color theme="8" tint="-0.499984740745262"/>
      <name val="Arial"/>
      <family val="2"/>
    </font>
    <font>
      <sz val="7"/>
      <color theme="1"/>
      <name val="Arial"/>
      <family val="2"/>
    </font>
    <font>
      <sz val="7"/>
      <color rgb="FF7030A0"/>
      <name val="Arial"/>
      <family val="2"/>
    </font>
    <font>
      <vertAlign val="superscript"/>
      <sz val="7"/>
      <color rgb="FF7030A0"/>
      <name val="Arial"/>
      <family val="2"/>
    </font>
    <font>
      <b/>
      <sz val="10"/>
      <color theme="1"/>
      <name val="Arial Narrow"/>
      <family val="2"/>
    </font>
    <font>
      <b/>
      <sz val="11"/>
      <color rgb="FF7030A0"/>
      <name val="Arial Narrow"/>
      <family val="2"/>
    </font>
    <font>
      <b/>
      <sz val="9"/>
      <color rgb="FF7030A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B9FFD9"/>
        <bgColor indexed="64"/>
      </patternFill>
    </fill>
    <fill>
      <patternFill patternType="solid">
        <fgColor rgb="FFC5F5FF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AFA26"/>
        <bgColor indexed="64"/>
      </patternFill>
    </fill>
    <fill>
      <patternFill patternType="solid">
        <fgColor rgb="FF97FFC6"/>
        <bgColor indexed="64"/>
      </patternFill>
    </fill>
    <fill>
      <patternFill patternType="solid">
        <fgColor rgb="FFCCFF8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C00000"/>
      </bottom>
      <diagonal/>
    </border>
    <border>
      <left style="thin">
        <color indexed="64"/>
      </left>
      <right style="double">
        <color rgb="FFC00000"/>
      </right>
      <top style="thin">
        <color indexed="64"/>
      </top>
      <bottom style="double">
        <color rgb="FFC00000"/>
      </bottom>
      <diagonal/>
    </border>
    <border>
      <left style="double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C00000"/>
      </right>
      <top/>
      <bottom style="thin">
        <color indexed="64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C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C00000"/>
      </bottom>
      <diagonal/>
    </border>
    <border>
      <left/>
      <right style="thin">
        <color indexed="64"/>
      </right>
      <top/>
      <bottom style="double">
        <color rgb="FFC00000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6" fillId="0" borderId="0" applyNumberFormat="0" applyFill="0" applyBorder="0" applyAlignment="0" applyProtection="0"/>
  </cellStyleXfs>
  <cellXfs count="2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166" fontId="7" fillId="3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25" fillId="2" borderId="1" xfId="0" applyNumberFormat="1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164" fontId="29" fillId="2" borderId="1" xfId="0" applyNumberFormat="1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center" vertical="center"/>
    </xf>
    <xf numFmtId="166" fontId="30" fillId="2" borderId="1" xfId="0" applyNumberFormat="1" applyFont="1" applyFill="1" applyBorder="1" applyAlignment="1" applyProtection="1">
      <alignment horizontal="center" vertical="center"/>
      <protection locked="0"/>
    </xf>
    <xf numFmtId="3" fontId="5" fillId="3" borderId="8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166" fontId="15" fillId="3" borderId="11" xfId="0" applyNumberFormat="1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166" fontId="18" fillId="3" borderId="11" xfId="0" applyNumberFormat="1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168" fontId="34" fillId="3" borderId="11" xfId="0" applyNumberFormat="1" applyFont="1" applyFill="1" applyBorder="1" applyAlignment="1">
      <alignment horizontal="center" vertical="center"/>
    </xf>
    <xf numFmtId="168" fontId="20" fillId="3" borderId="11" xfId="0" applyNumberFormat="1" applyFont="1" applyFill="1" applyBorder="1" applyAlignment="1">
      <alignment horizontal="center" vertical="center"/>
    </xf>
    <xf numFmtId="4" fontId="34" fillId="3" borderId="11" xfId="0" applyNumberFormat="1" applyFont="1" applyFill="1" applyBorder="1" applyAlignment="1">
      <alignment horizontal="center" vertical="center"/>
    </xf>
    <xf numFmtId="4" fontId="20" fillId="3" borderId="11" xfId="0" applyNumberFormat="1" applyFont="1" applyFill="1" applyBorder="1" applyAlignment="1">
      <alignment horizontal="center" vertical="center"/>
    </xf>
    <xf numFmtId="167" fontId="7" fillId="4" borderId="1" xfId="0" applyNumberFormat="1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/>
    </xf>
    <xf numFmtId="3" fontId="37" fillId="3" borderId="11" xfId="0" applyNumberFormat="1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40" fillId="2" borderId="4" xfId="0" applyFont="1" applyFill="1" applyBorder="1" applyAlignment="1">
      <alignment horizontal="center" vertical="center"/>
    </xf>
    <xf numFmtId="4" fontId="23" fillId="3" borderId="12" xfId="0" applyNumberFormat="1" applyFont="1" applyFill="1" applyBorder="1" applyAlignment="1">
      <alignment horizontal="center" vertical="center"/>
    </xf>
    <xf numFmtId="3" fontId="23" fillId="3" borderId="12" xfId="0" applyNumberFormat="1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42" fillId="3" borderId="12" xfId="0" applyFont="1" applyFill="1" applyBorder="1" applyAlignment="1">
      <alignment horizontal="center" vertical="center"/>
    </xf>
    <xf numFmtId="0" fontId="42" fillId="3" borderId="12" xfId="0" applyFont="1" applyFill="1" applyBorder="1" applyAlignment="1">
      <alignment vertical="center"/>
    </xf>
    <xf numFmtId="0" fontId="43" fillId="3" borderId="12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8" fillId="3" borderId="10" xfId="0" applyFont="1" applyFill="1" applyBorder="1" applyAlignment="1">
      <alignment vertical="center"/>
    </xf>
    <xf numFmtId="0" fontId="20" fillId="3" borderId="10" xfId="0" applyFont="1" applyFill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4" fontId="20" fillId="3" borderId="1" xfId="0" applyNumberFormat="1" applyFont="1" applyFill="1" applyBorder="1" applyAlignment="1">
      <alignment horizontal="center" vertical="center"/>
    </xf>
    <xf numFmtId="168" fontId="10" fillId="4" borderId="2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7" fontId="15" fillId="3" borderId="1" xfId="0" applyNumberFormat="1" applyFont="1" applyFill="1" applyBorder="1" applyAlignment="1">
      <alignment horizontal="center" vertical="center"/>
    </xf>
    <xf numFmtId="168" fontId="21" fillId="3" borderId="11" xfId="0" applyNumberFormat="1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left" vertical="center" indent="22"/>
    </xf>
    <xf numFmtId="0" fontId="46" fillId="3" borderId="11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left" vertical="center"/>
    </xf>
    <xf numFmtId="0" fontId="8" fillId="2" borderId="7" xfId="0" applyFont="1" applyFill="1" applyBorder="1"/>
    <xf numFmtId="0" fontId="10" fillId="2" borderId="8" xfId="0" applyFont="1" applyFill="1" applyBorder="1"/>
    <xf numFmtId="0" fontId="10" fillId="2" borderId="9" xfId="0" applyFont="1" applyFill="1" applyBorder="1"/>
    <xf numFmtId="0" fontId="6" fillId="0" borderId="0" xfId="0" applyFont="1" applyAlignment="1">
      <alignment horizontal="center"/>
    </xf>
    <xf numFmtId="169" fontId="2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8" fontId="20" fillId="3" borderId="13" xfId="0" applyNumberFormat="1" applyFont="1" applyFill="1" applyBorder="1" applyAlignment="1">
      <alignment horizontal="center" vertical="center" wrapText="1"/>
    </xf>
    <xf numFmtId="165" fontId="46" fillId="3" borderId="11" xfId="0" applyNumberFormat="1" applyFont="1" applyFill="1" applyBorder="1" applyAlignment="1">
      <alignment horizontal="center" vertical="center"/>
    </xf>
    <xf numFmtId="166" fontId="46" fillId="3" borderId="11" xfId="0" applyNumberFormat="1" applyFont="1" applyFill="1" applyBorder="1" applyAlignment="1">
      <alignment horizontal="center" vertical="center"/>
    </xf>
    <xf numFmtId="0" fontId="51" fillId="3" borderId="4" xfId="0" applyFont="1" applyFill="1" applyBorder="1" applyAlignment="1">
      <alignment horizontal="center" vertical="center"/>
    </xf>
    <xf numFmtId="0" fontId="56" fillId="5" borderId="12" xfId="0" applyFont="1" applyFill="1" applyBorder="1" applyAlignment="1">
      <alignment horizontal="center" vertical="center"/>
    </xf>
    <xf numFmtId="0" fontId="55" fillId="7" borderId="12" xfId="0" applyFont="1" applyFill="1" applyBorder="1" applyAlignment="1">
      <alignment horizontal="center" vertical="center"/>
    </xf>
    <xf numFmtId="0" fontId="59" fillId="2" borderId="4" xfId="0" applyFont="1" applyFill="1" applyBorder="1" applyAlignment="1">
      <alignment horizontal="center" vertical="center"/>
    </xf>
    <xf numFmtId="169" fontId="62" fillId="2" borderId="1" xfId="0" applyNumberFormat="1" applyFont="1" applyFill="1" applyBorder="1" applyAlignment="1" applyProtection="1">
      <alignment horizontal="center" vertic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/>
    </xf>
    <xf numFmtId="0" fontId="70" fillId="2" borderId="0" xfId="0" applyFont="1" applyFill="1" applyBorder="1" applyAlignment="1" applyProtection="1">
      <alignment horizontal="center" vertical="center"/>
    </xf>
    <xf numFmtId="0" fontId="71" fillId="2" borderId="0" xfId="0" applyFont="1" applyFill="1" applyBorder="1" applyAlignment="1" applyProtection="1">
      <alignment horizontal="center" vertical="center"/>
    </xf>
    <xf numFmtId="167" fontId="71" fillId="2" borderId="0" xfId="0" applyNumberFormat="1" applyFont="1" applyFill="1" applyBorder="1" applyAlignment="1" applyProtection="1">
      <alignment horizontal="center" vertical="center"/>
    </xf>
    <xf numFmtId="0" fontId="72" fillId="2" borderId="0" xfId="0" applyFont="1" applyFill="1" applyBorder="1" applyAlignment="1" applyProtection="1">
      <alignment horizontal="center" vertical="center"/>
    </xf>
    <xf numFmtId="166" fontId="71" fillId="2" borderId="0" xfId="0" applyNumberFormat="1" applyFont="1" applyFill="1" applyBorder="1" applyAlignment="1" applyProtection="1">
      <alignment horizontal="center" vertical="center"/>
    </xf>
    <xf numFmtId="3" fontId="71" fillId="2" borderId="0" xfId="0" applyNumberFormat="1" applyFont="1" applyFill="1" applyBorder="1" applyAlignment="1" applyProtection="1">
      <alignment horizontal="center" vertical="center"/>
    </xf>
    <xf numFmtId="165" fontId="71" fillId="2" borderId="0" xfId="0" applyNumberFormat="1" applyFont="1" applyFill="1" applyBorder="1" applyAlignment="1" applyProtection="1">
      <alignment horizontal="center" vertical="center"/>
    </xf>
    <xf numFmtId="0" fontId="73" fillId="2" borderId="0" xfId="0" applyFont="1" applyFill="1" applyBorder="1" applyAlignment="1" applyProtection="1">
      <alignment horizontal="center" vertical="center"/>
    </xf>
    <xf numFmtId="0" fontId="74" fillId="2" borderId="0" xfId="0" applyFont="1" applyFill="1" applyBorder="1" applyAlignment="1" applyProtection="1">
      <alignment horizontal="center" vertical="center"/>
    </xf>
    <xf numFmtId="0" fontId="69" fillId="2" borderId="0" xfId="0" applyFont="1" applyFill="1" applyBorder="1" applyAlignment="1" applyProtection="1">
      <alignment horizontal="center" vertical="center"/>
    </xf>
    <xf numFmtId="166" fontId="69" fillId="2" borderId="0" xfId="0" applyNumberFormat="1" applyFont="1" applyFill="1" applyBorder="1" applyAlignment="1" applyProtection="1">
      <alignment horizontal="center" vertical="center"/>
    </xf>
    <xf numFmtId="165" fontId="69" fillId="2" borderId="0" xfId="0" applyNumberFormat="1" applyFont="1" applyFill="1" applyBorder="1" applyAlignment="1" applyProtection="1">
      <alignment horizontal="center" vertical="center"/>
    </xf>
    <xf numFmtId="165" fontId="5" fillId="2" borderId="11" xfId="0" applyNumberFormat="1" applyFont="1" applyFill="1" applyBorder="1" applyAlignment="1" applyProtection="1">
      <alignment horizontal="center" vertical="center"/>
      <protection locked="0"/>
    </xf>
    <xf numFmtId="165" fontId="62" fillId="2" borderId="11" xfId="0" applyNumberFormat="1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165" fontId="5" fillId="2" borderId="26" xfId="0" applyNumberFormat="1" applyFont="1" applyFill="1" applyBorder="1" applyAlignment="1">
      <alignment horizontal="center" vertical="center"/>
    </xf>
    <xf numFmtId="0" fontId="69" fillId="2" borderId="28" xfId="0" applyFont="1" applyFill="1" applyBorder="1" applyAlignment="1" applyProtection="1">
      <alignment horizontal="left" vertical="center"/>
    </xf>
    <xf numFmtId="0" fontId="71" fillId="2" borderId="29" xfId="0" applyFont="1" applyFill="1" applyBorder="1" applyAlignment="1" applyProtection="1">
      <alignment vertical="center"/>
    </xf>
    <xf numFmtId="0" fontId="71" fillId="2" borderId="28" xfId="0" applyFont="1" applyFill="1" applyBorder="1" applyAlignment="1" applyProtection="1">
      <alignment horizontal="left" vertical="center" indent="2"/>
    </xf>
    <xf numFmtId="0" fontId="70" fillId="2" borderId="29" xfId="0" applyFont="1" applyFill="1" applyBorder="1" applyAlignment="1" applyProtection="1">
      <alignment horizontal="center" vertical="center"/>
    </xf>
    <xf numFmtId="0" fontId="71" fillId="2" borderId="29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vertical="center"/>
    </xf>
    <xf numFmtId="3" fontId="5" fillId="2" borderId="31" xfId="0" applyNumberFormat="1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0" fontId="76" fillId="3" borderId="3" xfId="0" applyFont="1" applyFill="1" applyBorder="1" applyAlignment="1">
      <alignment horizontal="left" vertical="center"/>
    </xf>
    <xf numFmtId="0" fontId="54" fillId="6" borderId="4" xfId="0" applyFont="1" applyFill="1" applyBorder="1" applyAlignment="1">
      <alignment vertical="center"/>
    </xf>
    <xf numFmtId="0" fontId="55" fillId="6" borderId="1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 applyProtection="1">
      <alignment horizontal="center" vertical="center"/>
      <protection locked="0"/>
    </xf>
    <xf numFmtId="165" fontId="62" fillId="2" borderId="34" xfId="0" applyNumberFormat="1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right" vertical="center"/>
    </xf>
    <xf numFmtId="2" fontId="78" fillId="2" borderId="1" xfId="0" applyNumberFormat="1" applyFont="1" applyFill="1" applyBorder="1" applyAlignment="1">
      <alignment horizontal="center" vertical="center"/>
    </xf>
    <xf numFmtId="171" fontId="2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25" fillId="2" borderId="1" xfId="0" applyNumberFormat="1" applyFont="1" applyFill="1" applyBorder="1" applyAlignment="1" applyProtection="1">
      <alignment horizontal="center" vertical="center"/>
      <protection locked="0"/>
    </xf>
    <xf numFmtId="170" fontId="25" fillId="2" borderId="1" xfId="0" applyNumberFormat="1" applyFont="1" applyFill="1" applyBorder="1" applyAlignment="1" applyProtection="1">
      <alignment horizontal="center" vertical="center"/>
      <protection locked="0"/>
    </xf>
    <xf numFmtId="171" fontId="28" fillId="2" borderId="1" xfId="0" applyNumberFormat="1" applyFont="1" applyFill="1" applyBorder="1" applyAlignment="1" applyProtection="1">
      <alignment horizontal="center" vertical="center"/>
      <protection locked="0"/>
    </xf>
    <xf numFmtId="171" fontId="29" fillId="2" borderId="1" xfId="0" applyNumberFormat="1" applyFont="1" applyFill="1" applyBorder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>
      <alignment horizontal="center" vertical="center"/>
    </xf>
    <xf numFmtId="0" fontId="79" fillId="2" borderId="1" xfId="0" applyFont="1" applyFill="1" applyBorder="1" applyAlignment="1">
      <alignment horizontal="center" vertical="center"/>
    </xf>
    <xf numFmtId="0" fontId="8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83" fillId="0" borderId="0" xfId="0" applyFont="1"/>
    <xf numFmtId="0" fontId="83" fillId="0" borderId="17" xfId="0" applyFont="1" applyBorder="1"/>
    <xf numFmtId="0" fontId="84" fillId="0" borderId="0" xfId="0" applyFont="1"/>
    <xf numFmtId="0" fontId="84" fillId="0" borderId="17" xfId="0" applyFont="1" applyBorder="1"/>
    <xf numFmtId="0" fontId="64" fillId="0" borderId="0" xfId="0" applyFont="1" applyAlignment="1">
      <alignment horizontal="center" vertical="center" wrapText="1"/>
    </xf>
    <xf numFmtId="0" fontId="90" fillId="0" borderId="0" xfId="0" applyFont="1"/>
    <xf numFmtId="0" fontId="8" fillId="0" borderId="13" xfId="0" applyFont="1" applyBorder="1" applyAlignment="1">
      <alignment horizontal="center"/>
    </xf>
    <xf numFmtId="0" fontId="0" fillId="0" borderId="20" xfId="0" applyBorder="1"/>
    <xf numFmtId="0" fontId="59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/>
    <xf numFmtId="0" fontId="94" fillId="0" borderId="0" xfId="0" applyFont="1" applyAlignment="1">
      <alignment vertical="center"/>
    </xf>
    <xf numFmtId="0" fontId="94" fillId="0" borderId="0" xfId="0" applyFont="1"/>
    <xf numFmtId="0" fontId="95" fillId="3" borderId="10" xfId="0" applyFont="1" applyFill="1" applyBorder="1" applyAlignment="1">
      <alignment vertical="center"/>
    </xf>
    <xf numFmtId="0" fontId="30" fillId="3" borderId="10" xfId="0" applyFont="1" applyFill="1" applyBorder="1" applyAlignment="1">
      <alignment horizontal="left" vertical="center"/>
    </xf>
    <xf numFmtId="170" fontId="28" fillId="2" borderId="1" xfId="0" applyNumberFormat="1" applyFont="1" applyFill="1" applyBorder="1" applyAlignment="1" applyProtection="1">
      <alignment horizontal="center" vertical="center"/>
      <protection locked="0"/>
    </xf>
    <xf numFmtId="0" fontId="96" fillId="2" borderId="4" xfId="0" applyFont="1" applyFill="1" applyBorder="1" applyAlignment="1">
      <alignment horizontal="center" vertical="center"/>
    </xf>
    <xf numFmtId="0" fontId="99" fillId="2" borderId="3" xfId="0" applyFont="1" applyFill="1" applyBorder="1" applyAlignment="1">
      <alignment vertical="center" wrapText="1"/>
    </xf>
    <xf numFmtId="0" fontId="54" fillId="8" borderId="4" xfId="0" applyFont="1" applyFill="1" applyBorder="1" applyAlignment="1">
      <alignment vertical="center"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6" fillId="0" borderId="0" xfId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85" fillId="0" borderId="0" xfId="0" applyFont="1" applyAlignment="1">
      <alignment horizontal="center" wrapText="1"/>
    </xf>
    <xf numFmtId="0" fontId="86" fillId="0" borderId="0" xfId="0" applyFont="1" applyAlignment="1">
      <alignment horizontal="center" wrapText="1"/>
    </xf>
    <xf numFmtId="0" fontId="67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68" fontId="21" fillId="3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8" fontId="21" fillId="3" borderId="14" xfId="0" applyNumberFormat="1" applyFont="1" applyFill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165" fontId="34" fillId="3" borderId="13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6" fontId="15" fillId="3" borderId="13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37" fillId="3" borderId="13" xfId="0" applyNumberFormat="1" applyFont="1" applyFill="1" applyBorder="1" applyAlignment="1">
      <alignment horizontal="center" vertical="center"/>
    </xf>
    <xf numFmtId="168" fontId="20" fillId="3" borderId="13" xfId="0" applyNumberFormat="1" applyFont="1" applyFill="1" applyBorder="1" applyAlignment="1">
      <alignment horizontal="center" vertical="center" wrapText="1"/>
    </xf>
    <xf numFmtId="168" fontId="10" fillId="0" borderId="2" xfId="0" applyNumberFormat="1" applyFont="1" applyBorder="1" applyAlignment="1">
      <alignment horizontal="center" vertical="center" wrapText="1"/>
    </xf>
    <xf numFmtId="167" fontId="21" fillId="3" borderId="13" xfId="0" applyNumberFormat="1" applyFont="1" applyFill="1" applyBorder="1" applyAlignment="1">
      <alignment horizontal="center" vertical="center"/>
    </xf>
    <xf numFmtId="167" fontId="38" fillId="0" borderId="2" xfId="0" applyNumberFormat="1" applyFont="1" applyBorder="1" applyAlignment="1">
      <alignment horizontal="center" vertical="center"/>
    </xf>
    <xf numFmtId="3" fontId="37" fillId="3" borderId="1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8F"/>
      <color rgb="FF9AFA26"/>
      <color rgb="FFC5F5FF"/>
      <color rgb="FF97FFC6"/>
      <color rgb="FFC5F0FF"/>
      <color rgb="FFB9FFD9"/>
      <color rgb="FFD9F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620317013446"/>
          <c:y val="5.1840552487447226E-2"/>
          <c:w val="0.82958694409008926"/>
          <c:h val="0.722449251208768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'calc-germ.'!$D$66</c:f>
              <c:strCache>
                <c:ptCount val="1"/>
                <c:pt idx="0">
                  <c:v>pL(r ) [N/mm²]</c:v>
                </c:pt>
              </c:strCache>
            </c:strRef>
          </c:tx>
          <c:spPr>
            <a:ln w="19050"/>
          </c:spPr>
          <c:marker>
            <c:symbol val="square"/>
            <c:size val="7"/>
            <c:spPr>
              <a:noFill/>
            </c:spPr>
          </c:marker>
          <c:xVal>
            <c:numRef>
              <c:f>'calc-germ.'!$C$67:$C$71</c:f>
              <c:numCache>
                <c:formatCode>0.0</c:formatCode>
                <c:ptCount val="5"/>
                <c:pt idx="0">
                  <c:v>26</c:v>
                </c:pt>
                <c:pt idx="1">
                  <c:v>29.5</c:v>
                </c:pt>
                <c:pt idx="2">
                  <c:v>33</c:v>
                </c:pt>
                <c:pt idx="3">
                  <c:v>36.5</c:v>
                </c:pt>
                <c:pt idx="4">
                  <c:v>40</c:v>
                </c:pt>
              </c:numCache>
            </c:numRef>
          </c:xVal>
          <c:yVal>
            <c:numRef>
              <c:f>'calc-germ.'!$D$67:$D$71</c:f>
              <c:numCache>
                <c:formatCode>0.0000</c:formatCode>
                <c:ptCount val="5"/>
                <c:pt idx="0">
                  <c:v>0.25650360927478905</c:v>
                </c:pt>
                <c:pt idx="1">
                  <c:v>0.18130379246615963</c:v>
                </c:pt>
                <c:pt idx="2">
                  <c:v>0.11454512921423413</c:v>
                </c:pt>
                <c:pt idx="3">
                  <c:v>5.4522393421494481E-2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'calc-germ.'!$F$66</c:f>
              <c:strCache>
                <c:ptCount val="1"/>
                <c:pt idx="0">
                  <c:v>pR(r ) [N/mm²]</c:v>
                </c:pt>
              </c:strCache>
            </c:strRef>
          </c:tx>
          <c:spPr>
            <a:ln w="15875"/>
          </c:spPr>
          <c:marker>
            <c:symbol val="circle"/>
            <c:size val="4"/>
            <c:spPr>
              <a:noFill/>
            </c:spPr>
          </c:marker>
          <c:xVal>
            <c:numRef>
              <c:f>'calc-germ.'!$E$67:$E$71</c:f>
              <c:numCache>
                <c:formatCode>0.0</c:formatCode>
                <c:ptCount val="5"/>
                <c:pt idx="0">
                  <c:v>26</c:v>
                </c:pt>
                <c:pt idx="1">
                  <c:v>29.5</c:v>
                </c:pt>
                <c:pt idx="2">
                  <c:v>33</c:v>
                </c:pt>
                <c:pt idx="3">
                  <c:v>36.5</c:v>
                </c:pt>
                <c:pt idx="4">
                  <c:v>40</c:v>
                </c:pt>
              </c:numCache>
            </c:numRef>
          </c:xVal>
          <c:yVal>
            <c:numRef>
              <c:f>'calc-germ.'!$F$67:$F$71</c:f>
              <c:numCache>
                <c:formatCode>0.0000</c:formatCode>
                <c:ptCount val="5"/>
                <c:pt idx="0">
                  <c:v>0.25650360927478905</c:v>
                </c:pt>
                <c:pt idx="1">
                  <c:v>0.18130379246615963</c:v>
                </c:pt>
                <c:pt idx="2">
                  <c:v>0.11454512921423413</c:v>
                </c:pt>
                <c:pt idx="3">
                  <c:v>5.4522393421494481E-2</c:v>
                </c:pt>
                <c:pt idx="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005056"/>
        <c:axId val="193015808"/>
      </c:scatterChart>
      <c:valAx>
        <c:axId val="193005056"/>
        <c:scaling>
          <c:orientation val="minMax"/>
          <c:max val="50"/>
          <c:min val="2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Radius</a:t>
                </a:r>
              </a:p>
            </c:rich>
          </c:tx>
          <c:layout>
            <c:manualLayout>
              <c:xMode val="edge"/>
              <c:yMode val="edge"/>
              <c:x val="0.74125720318479749"/>
              <c:y val="0.7932080280390908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93015808"/>
        <c:crosses val="autoZero"/>
        <c:crossBetween val="midCat"/>
        <c:majorUnit val="10"/>
        <c:minorUnit val="1"/>
      </c:valAx>
      <c:valAx>
        <c:axId val="19301580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Druck</a:t>
                </a:r>
              </a:p>
            </c:rich>
          </c:tx>
          <c:layout>
            <c:manualLayout>
              <c:xMode val="edge"/>
              <c:yMode val="edge"/>
              <c:x val="3.6619891787269605E-2"/>
              <c:y val="0.14642689464421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93005056"/>
        <c:crosses val="autoZero"/>
        <c:crossBetween val="midCat"/>
        <c:majorUnit val="0.5"/>
        <c:min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05637613874604E-2"/>
          <c:y val="5.1840552487447226E-2"/>
          <c:w val="0.83621268821895867"/>
          <c:h val="0.762706118887969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'calc-engl.'!$D$66</c:f>
              <c:strCache>
                <c:ptCount val="1"/>
                <c:pt idx="0">
                  <c:v>pL(r ) [N/mm²]</c:v>
                </c:pt>
              </c:strCache>
            </c:strRef>
          </c:tx>
          <c:spPr>
            <a:ln w="15875"/>
          </c:spPr>
          <c:marker>
            <c:symbol val="circle"/>
            <c:size val="4"/>
            <c:spPr>
              <a:noFill/>
            </c:spPr>
          </c:marker>
          <c:xVal>
            <c:numRef>
              <c:f>'calc-engl.'!$C$67:$C$71</c:f>
              <c:numCache>
                <c:formatCode>0.0</c:formatCode>
                <c:ptCount val="5"/>
                <c:pt idx="0">
                  <c:v>26</c:v>
                </c:pt>
                <c:pt idx="1">
                  <c:v>32</c:v>
                </c:pt>
                <c:pt idx="2">
                  <c:v>38</c:v>
                </c:pt>
                <c:pt idx="3">
                  <c:v>44</c:v>
                </c:pt>
                <c:pt idx="4">
                  <c:v>50</c:v>
                </c:pt>
              </c:numCache>
            </c:numRef>
          </c:xVal>
          <c:yVal>
            <c:numRef>
              <c:f>'calc-engl.'!$D$67:$D$71</c:f>
              <c:numCache>
                <c:formatCode>0.0000</c:formatCode>
                <c:ptCount val="5"/>
                <c:pt idx="0">
                  <c:v>0.22318208427962866</c:v>
                </c:pt>
                <c:pt idx="1">
                  <c:v>0.15231572770977303</c:v>
                </c:pt>
                <c:pt idx="2">
                  <c:v>9.3664028418589673E-2</c:v>
                </c:pt>
                <c:pt idx="3">
                  <c:v>4.3628939515497428E-2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'calc-engl.'!$F$66</c:f>
              <c:strCache>
                <c:ptCount val="1"/>
                <c:pt idx="0">
                  <c:v>pR(r ) [N/mm²]</c:v>
                </c:pt>
              </c:strCache>
            </c:strRef>
          </c:tx>
          <c:spPr>
            <a:ln w="9525"/>
          </c:spPr>
          <c:marker>
            <c:symbol val="square"/>
            <c:size val="7"/>
            <c:spPr>
              <a:noFill/>
            </c:spPr>
          </c:marker>
          <c:xVal>
            <c:numRef>
              <c:f>'calc-engl.'!$E$67:$E$71</c:f>
              <c:numCache>
                <c:formatCode>0.0</c:formatCode>
                <c:ptCount val="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</c:numCache>
            </c:numRef>
          </c:xVal>
          <c:yVal>
            <c:numRef>
              <c:f>'calc-engl.'!$F$67:$F$71</c:f>
              <c:numCache>
                <c:formatCode>0.0000</c:formatCode>
                <c:ptCount val="5"/>
                <c:pt idx="0">
                  <c:v>0.88408121134410345</c:v>
                </c:pt>
                <c:pt idx="1">
                  <c:v>0.65092035756618882</c:v>
                </c:pt>
                <c:pt idx="2">
                  <c:v>0.4262399846604083</c:v>
                </c:pt>
                <c:pt idx="3">
                  <c:v>0.20944478110233988</c:v>
                </c:pt>
                <c:pt idx="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823872"/>
        <c:axId val="193826176"/>
      </c:scatterChart>
      <c:valAx>
        <c:axId val="193823872"/>
        <c:scaling>
          <c:orientation val="minMax"/>
          <c:max val="50"/>
          <c:min val="2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Radius </a:t>
                </a:r>
              </a:p>
            </c:rich>
          </c:tx>
          <c:layout>
            <c:manualLayout>
              <c:xMode val="edge"/>
              <c:yMode val="edge"/>
              <c:x val="0.86121576962537616"/>
              <c:y val="0.884930382133481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93826176"/>
        <c:crosses val="autoZero"/>
        <c:crossBetween val="midCat"/>
        <c:majorUnit val="5"/>
        <c:minorUnit val="1"/>
      </c:valAx>
      <c:valAx>
        <c:axId val="1938261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</a:t>
                </a:r>
              </a:p>
            </c:rich>
          </c:tx>
          <c:layout>
            <c:manualLayout>
              <c:xMode val="edge"/>
              <c:yMode val="edge"/>
              <c:x val="3.6799804641726462E-2"/>
              <c:y val="0.1143866139866972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93823872"/>
        <c:crosses val="autoZero"/>
        <c:crossBetween val="midCat"/>
        <c:majorUnit val="0.5"/>
        <c:min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132725</xdr:colOff>
      <xdr:row>35</xdr:row>
      <xdr:rowOff>26485</xdr:rowOff>
    </xdr:from>
    <xdr:ext cx="4878067" cy="468013"/>
    <xdr:sp macro="" textlink="">
      <xdr:nvSpPr>
        <xdr:cNvPr id="4" name="Rechteck 3"/>
        <xdr:cNvSpPr/>
      </xdr:nvSpPr>
      <xdr:spPr>
        <a:xfrm>
          <a:off x="589925" y="6913060"/>
          <a:ext cx="487806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the Calculation</a:t>
          </a:r>
          <a:r>
            <a:rPr lang="de-DE" sz="2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is under Construction</a:t>
          </a:r>
          <a:endParaRPr lang="de-DE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257175</xdr:colOff>
      <xdr:row>17</xdr:row>
      <xdr:rowOff>123826</xdr:rowOff>
    </xdr:from>
    <xdr:to>
      <xdr:col>5</xdr:col>
      <xdr:colOff>1974503</xdr:colOff>
      <xdr:row>31</xdr:row>
      <xdr:rowOff>9526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20" t="8108" r="7731" b="14526"/>
        <a:stretch/>
      </xdr:blipFill>
      <xdr:spPr>
        <a:xfrm>
          <a:off x="714375" y="3581401"/>
          <a:ext cx="4993928" cy="2552700"/>
        </a:xfrm>
        <a:prstGeom prst="rect">
          <a:avLst/>
        </a:prstGeom>
        <a:ln w="3175">
          <a:solidFill>
            <a:srgbClr val="002060"/>
          </a:solidFill>
        </a:ln>
      </xdr:spPr>
    </xdr:pic>
    <xdr:clientData/>
  </xdr:twoCellAnchor>
  <xdr:twoCellAnchor editAs="oneCell">
    <xdr:from>
      <xdr:col>3</xdr:col>
      <xdr:colOff>809625</xdr:colOff>
      <xdr:row>39</xdr:row>
      <xdr:rowOff>162300</xdr:rowOff>
    </xdr:from>
    <xdr:to>
      <xdr:col>4</xdr:col>
      <xdr:colOff>466725</xdr:colOff>
      <xdr:row>42</xdr:row>
      <xdr:rowOff>28576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05125" y="7810875"/>
          <a:ext cx="476250" cy="437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1998133</xdr:colOff>
      <xdr:row>37</xdr:row>
      <xdr:rowOff>50799</xdr:rowOff>
    </xdr:from>
    <xdr:ext cx="914400" cy="264560"/>
    <xdr:sp macro="" textlink="">
      <xdr:nvSpPr>
        <xdr:cNvPr id="16" name="Textfeld 15"/>
        <xdr:cNvSpPr txBox="1"/>
      </xdr:nvSpPr>
      <xdr:spPr>
        <a:xfrm>
          <a:off x="9008533" y="677544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1</xdr:col>
      <xdr:colOff>47625</xdr:colOff>
      <xdr:row>65</xdr:row>
      <xdr:rowOff>2116</xdr:rowOff>
    </xdr:from>
    <xdr:to>
      <xdr:col>1</xdr:col>
      <xdr:colOff>3457575</xdr:colOff>
      <xdr:row>78</xdr:row>
      <xdr:rowOff>112183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1169412</xdr:colOff>
      <xdr:row>20</xdr:row>
      <xdr:rowOff>123826</xdr:rowOff>
    </xdr:from>
    <xdr:to>
      <xdr:col>6</xdr:col>
      <xdr:colOff>952500</xdr:colOff>
      <xdr:row>36</xdr:row>
      <xdr:rowOff>114300</xdr:rowOff>
    </xdr:to>
    <xdr:pic>
      <xdr:nvPicPr>
        <xdr:cNvPr id="24" name="Grafik 2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80" t="11557" r="8229" b="15802"/>
        <a:stretch/>
      </xdr:blipFill>
      <xdr:spPr>
        <a:xfrm>
          <a:off x="1598037" y="4314826"/>
          <a:ext cx="6688713" cy="3190874"/>
        </a:xfrm>
        <a:prstGeom prst="rect">
          <a:avLst/>
        </a:prstGeom>
        <a:ln>
          <a:solidFill>
            <a:srgbClr val="0070C0"/>
          </a:solidFill>
        </a:ln>
      </xdr:spPr>
    </xdr:pic>
    <xdr:clientData/>
  </xdr:twoCellAnchor>
  <xdr:twoCellAnchor editAs="oneCell">
    <xdr:from>
      <xdr:col>0</xdr:col>
      <xdr:colOff>0</xdr:colOff>
      <xdr:row>83</xdr:row>
      <xdr:rowOff>18361</xdr:rowOff>
    </xdr:from>
    <xdr:to>
      <xdr:col>1</xdr:col>
      <xdr:colOff>3175</xdr:colOff>
      <xdr:row>85</xdr:row>
      <xdr:rowOff>30003</xdr:rowOff>
    </xdr:to>
    <xdr:pic>
      <xdr:nvPicPr>
        <xdr:cNvPr id="25" name="Grafik 2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159"/>
        <a:stretch/>
      </xdr:blipFill>
      <xdr:spPr>
        <a:xfrm>
          <a:off x="0" y="16201336"/>
          <a:ext cx="419100" cy="3926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1998133</xdr:colOff>
      <xdr:row>37</xdr:row>
      <xdr:rowOff>50799</xdr:rowOff>
    </xdr:from>
    <xdr:ext cx="914400" cy="264560"/>
    <xdr:sp macro="" textlink="">
      <xdr:nvSpPr>
        <xdr:cNvPr id="2" name="Textfeld 1"/>
        <xdr:cNvSpPr txBox="1"/>
      </xdr:nvSpPr>
      <xdr:spPr>
        <a:xfrm>
          <a:off x="8694208" y="757554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1</xdr:col>
      <xdr:colOff>13605</xdr:colOff>
      <xdr:row>64</xdr:row>
      <xdr:rowOff>198059</xdr:rowOff>
    </xdr:from>
    <xdr:to>
      <xdr:col>1</xdr:col>
      <xdr:colOff>3469819</xdr:colOff>
      <xdr:row>78</xdr:row>
      <xdr:rowOff>155726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1104899</xdr:colOff>
      <xdr:row>20</xdr:row>
      <xdr:rowOff>123826</xdr:rowOff>
    </xdr:from>
    <xdr:to>
      <xdr:col>6</xdr:col>
      <xdr:colOff>768145</xdr:colOff>
      <xdr:row>36</xdr:row>
      <xdr:rowOff>114301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80" t="11557" r="8229" b="15802"/>
        <a:stretch/>
      </xdr:blipFill>
      <xdr:spPr>
        <a:xfrm>
          <a:off x="1535060" y="4497132"/>
          <a:ext cx="6781391" cy="3267895"/>
        </a:xfrm>
        <a:prstGeom prst="rect">
          <a:avLst/>
        </a:prstGeom>
        <a:ln>
          <a:solidFill>
            <a:srgbClr val="0070C0"/>
          </a:solidFill>
        </a:ln>
      </xdr:spPr>
    </xdr:pic>
    <xdr:clientData/>
  </xdr:twoCellAnchor>
  <xdr:twoCellAnchor editAs="oneCell">
    <xdr:from>
      <xdr:col>0</xdr:col>
      <xdr:colOff>0</xdr:colOff>
      <xdr:row>83</xdr:row>
      <xdr:rowOff>142875</xdr:rowOff>
    </xdr:from>
    <xdr:to>
      <xdr:col>1</xdr:col>
      <xdr:colOff>0</xdr:colOff>
      <xdr:row>85</xdr:row>
      <xdr:rowOff>154517</xdr:rowOff>
    </xdr:to>
    <xdr:pic>
      <xdr:nvPicPr>
        <xdr:cNvPr id="7" name="Grafik 6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159"/>
        <a:stretch/>
      </xdr:blipFill>
      <xdr:spPr>
        <a:xfrm>
          <a:off x="0" y="16354425"/>
          <a:ext cx="419100" cy="3926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35</xdr:row>
      <xdr:rowOff>50799</xdr:rowOff>
    </xdr:from>
    <xdr:ext cx="914400" cy="264560"/>
    <xdr:sp macro="" textlink="">
      <xdr:nvSpPr>
        <xdr:cNvPr id="23" name="Textfeld 22"/>
        <xdr:cNvSpPr txBox="1"/>
      </xdr:nvSpPr>
      <xdr:spPr>
        <a:xfrm>
          <a:off x="9596966" y="559646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18</xdr:col>
      <xdr:colOff>529167</xdr:colOff>
      <xdr:row>85</xdr:row>
      <xdr:rowOff>30936</xdr:rowOff>
    </xdr:from>
    <xdr:to>
      <xdr:col>19</xdr:col>
      <xdr:colOff>317501</xdr:colOff>
      <xdr:row>87</xdr:row>
      <xdr:rowOff>188317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6479500" y="15196853"/>
          <a:ext cx="550334" cy="538381"/>
        </a:xfrm>
        <a:prstGeom prst="rect">
          <a:avLst/>
        </a:prstGeom>
        <a:effectLst>
          <a:glow rad="127000">
            <a:schemeClr val="accent1">
              <a:alpha val="0"/>
            </a:schemeClr>
          </a:glow>
        </a:effectLst>
        <a:scene3d>
          <a:camera prst="orthographicFront"/>
          <a:lightRig rig="threePt" dir="t"/>
        </a:scene3d>
        <a:sp3d/>
      </xdr:spPr>
    </xdr:pic>
    <xdr:clientData/>
  </xdr:twoCellAnchor>
  <xdr:oneCellAnchor>
    <xdr:from>
      <xdr:col>0</xdr:col>
      <xdr:colOff>560917</xdr:colOff>
      <xdr:row>6</xdr:row>
      <xdr:rowOff>188382</xdr:rowOff>
    </xdr:from>
    <xdr:ext cx="2666999" cy="4867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/>
            <xdr:cNvSpPr txBox="1"/>
          </xdr:nvSpPr>
          <xdr:spPr>
            <a:xfrm>
              <a:off x="12657667" y="1447799"/>
              <a:ext cx="2666999" cy="4867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𝑎</m:t>
                    </m:r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8</m:t>
                        </m:r>
                      </m:den>
                    </m:f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f>
                      <m:f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𝑠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𝑟𝑎𝑑</m:t>
                            </m:r>
                          </m:sub>
                          <m:sup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bSup>
                      </m:num>
                      <m:den>
                        <m:sSubSup>
                          <m:sSubSup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𝑠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𝑎𝑥</m:t>
                            </m:r>
                          </m:sub>
                          <m:sup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bSup>
                      </m:den>
                    </m:f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f>
                      <m:f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𝑚</m:t>
                            </m:r>
                          </m:sub>
                        </m:sSub>
                      </m:num>
                      <m:den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𝑙</m:t>
                        </m:r>
                      </m:den>
                    </m:f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𝑙𝑛</m:t>
                    </m:r>
                    <m:d>
                      <m:d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𝑎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d>
                      <m:d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1+</m:t>
                        </m:r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num>
                          <m:den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den>
                        </m:f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𝜀</m:t>
                            </m:r>
                          </m:e>
                          <m:sup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</m:d>
                    <m:r>
                      <m:rPr>
                        <m:nor/>
                      </m:rPr>
                      <a:rPr lang="de-DE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12657667" y="1447799"/>
              <a:ext cx="2666999" cy="4867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𝑎=1/8∙(𝑠_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𝑟𝑎𝑑^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3)/(𝑠_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𝑎𝑥^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3 )∙𝑟_𝑚/𝑙∙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𝑙𝑛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𝑟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𝑟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𝑖 )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∙(1+3/2∙𝜀^2 )" 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484715</xdr:colOff>
      <xdr:row>4</xdr:row>
      <xdr:rowOff>230716</xdr:rowOff>
    </xdr:from>
    <xdr:ext cx="2806701" cy="4642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/>
            <xdr:cNvSpPr txBox="1"/>
          </xdr:nvSpPr>
          <xdr:spPr>
            <a:xfrm>
              <a:off x="11830048" y="823383"/>
              <a:ext cx="2806701" cy="4642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𝐿</m:t>
                        </m:r>
                      </m:sub>
                    </m:sSub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f>
                      <m:f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𝐿</m:t>
                            </m:r>
                          </m:sub>
                        </m:sSub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𝐿</m:t>
                            </m:r>
                          </m:sub>
                        </m:s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𝐿</m:t>
                            </m:r>
                          </m:sub>
                        </m:sSub>
                      </m:num>
                      <m:den>
                        <m:sSubSup>
                          <m:sSubSup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acc>
                              <m:accPr>
                                <m:chr m:val="̅"/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𝒉</m:t>
                                </m:r>
                              </m:e>
                            </m:acc>
                          </m:e>
                          <m:sub>
                            <m: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𝒂𝒙</m:t>
                            </m:r>
                          </m:sub>
                          <m:sup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𝟑</m:t>
                            </m:r>
                          </m:sup>
                        </m:sSubSup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𝐿</m:t>
                            </m:r>
                          </m:sub>
                        </m:sSub>
                      </m:den>
                    </m:f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𝑓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sub>
                    </m:sSub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f>
                      <m:f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𝟏</m:t>
                            </m:r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̅"/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accPr>
                                  <m:e>
                                    <m: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𝒉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𝒂𝒙</m:t>
                                </m:r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,</m:t>
                                </m:r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𝑳</m:t>
                                </m:r>
                              </m:sub>
                            </m:s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)</m:t>
                            </m:r>
                          </m:e>
                          <m:sup>
                            <m: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𝟑</m:t>
                            </m:r>
                          </m:sup>
                        </m:sSup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</m:den>
                    </m:f>
                    <m:r>
                      <m:rPr>
                        <m:nor/>
                      </m:rPr>
                      <a:rPr lang="de-DE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  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11830048" y="823383"/>
              <a:ext cx="2806701" cy="4642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𝑓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∙(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∙𝑎_𝐿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𝑏_𝐿)/(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𝒉 ̅_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𝒂𝒙^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𝟑+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𝑎_𝐿 )=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𝑓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∙(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∙𝑎_𝑅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𝑏_𝑅)/(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〖(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𝟏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−𝒉 ̅_(𝒂𝒙,𝑳))〗^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𝟑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𝑎_𝑅 )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   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550333</xdr:colOff>
      <xdr:row>9</xdr:row>
      <xdr:rowOff>124884</xdr:rowOff>
    </xdr:from>
    <xdr:ext cx="3915833" cy="6372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/>
            <xdr:cNvSpPr txBox="1"/>
          </xdr:nvSpPr>
          <xdr:spPr>
            <a:xfrm>
              <a:off x="12647083" y="1976967"/>
              <a:ext cx="3915833" cy="6372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𝑏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8</m:t>
                        </m:r>
                      </m:den>
                    </m:f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f>
                      <m:f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𝑠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𝑟𝑎𝑑</m:t>
                            </m:r>
                          </m:sub>
                          <m:sup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bSup>
                      </m:num>
                      <m:den>
                        <m:sSubSup>
                          <m:sSubSup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𝑠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𝑎𝑥</m:t>
                            </m:r>
                          </m:sub>
                          <m:sup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bSup>
                      </m:den>
                    </m:f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f>
                      <m:f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𝑚</m:t>
                            </m:r>
                          </m:sub>
                        </m:sSub>
                      </m:num>
                      <m:den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𝑙</m:t>
                        </m:r>
                      </m:den>
                    </m:f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d>
                      <m:d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1+</m:t>
                        </m:r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num>
                          <m:den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den>
                        </m:f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𝜀</m:t>
                            </m:r>
                          </m:e>
                          <m:sup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</m:d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d>
                      <m:d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de-DE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𝑟</m:t>
                                        </m:r>
                                      </m:e>
                                      <m:sub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𝑎</m:t>
                                        </m:r>
                                      </m:sub>
                                    </m:sSub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de-DE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𝑟</m:t>
                                        </m:r>
                                      </m:e>
                                      <m:sub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d>
                          <m:d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𝑙𝑛</m:t>
                            </m:r>
                            <m:d>
                              <m:d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de-DE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𝑟</m:t>
                                        </m:r>
                                      </m:e>
                                      <m:sub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𝑎</m:t>
                                        </m:r>
                                      </m:sub>
                                    </m:sSub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de-DE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𝑟</m:t>
                                        </m:r>
                                      </m:e>
                                      <m:sub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f>
                              <m:f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e>
                        </m:d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den>
                        </m:f>
                      </m:e>
                    </m:d>
                    <m:r>
                      <m:rPr>
                        <m:nor/>
                      </m:rPr>
                      <a:rPr lang="en-US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6" name="Textfeld 5"/>
            <xdr:cNvSpPr txBox="1"/>
          </xdr:nvSpPr>
          <xdr:spPr>
            <a:xfrm>
              <a:off x="12647083" y="1976967"/>
              <a:ext cx="3915833" cy="6372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𝑏=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1/8∙(𝑠_𝑟𝑎𝑑^3)/(𝑠_𝑎𝑥^3 )∙𝑟_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/𝑙∙(1+3/2∙𝜀^2 )∙((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𝑟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𝑎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𝑟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^2∙(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𝑙𝑛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𝑟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𝑎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𝑟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−1/2)+1/2)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632883</xdr:colOff>
      <xdr:row>12</xdr:row>
      <xdr:rowOff>167217</xdr:rowOff>
    </xdr:from>
    <xdr:ext cx="914400" cy="4835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/>
            <xdr:cNvSpPr txBox="1"/>
          </xdr:nvSpPr>
          <xdr:spPr>
            <a:xfrm>
              <a:off x="12729633" y="2622550"/>
              <a:ext cx="914400" cy="4835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𝑐</m:t>
                    </m:r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sub>
                          <m:sup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bSup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sSubSup>
                          <m:sSubSup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𝑚</m:t>
                            </m:r>
                          </m:sub>
                          <m:sup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bSup>
                      </m:num>
                      <m:den>
                        <m:sSubSup>
                          <m:sSubSup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  <m:sup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bSup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12729633" y="2622550"/>
              <a:ext cx="914400" cy="4835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𝑐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𝑟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𝑎^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2−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𝑟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𝑚^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2)/(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𝑟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𝑖^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571500</xdr:colOff>
      <xdr:row>15</xdr:row>
      <xdr:rowOff>146049</xdr:rowOff>
    </xdr:from>
    <xdr:ext cx="1312334" cy="2897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/>
            <xdr:cNvSpPr txBox="1"/>
          </xdr:nvSpPr>
          <xdr:spPr>
            <a:xfrm>
              <a:off x="12668250" y="3183466"/>
              <a:ext cx="1312334" cy="2897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𝑓</m:t>
                    </m:r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𝜋</m:t>
                    </m:r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sSubSup>
                      <m:sSubSup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𝑟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b>
                      <m:sup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p>
                    </m:sSubSup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sSub>
                      <m:sSub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𝑝</m:t>
                        </m:r>
                      </m:e>
                      <m:sub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𝑧</m:t>
                        </m:r>
                      </m:sub>
                    </m:sSub>
                    <m:r>
                      <m:rPr>
                        <m:nor/>
                      </m:rPr>
                      <a:rPr lang="de-DE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0" name="Textfeld 9"/>
            <xdr:cNvSpPr txBox="1"/>
          </xdr:nvSpPr>
          <xdr:spPr>
            <a:xfrm>
              <a:off x="12668250" y="3183466"/>
              <a:ext cx="1312334" cy="2897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𝑓=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𝜋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∙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𝑟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𝑖^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2∙〖 𝑝〗_𝑧 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518584</xdr:colOff>
      <xdr:row>17</xdr:row>
      <xdr:rowOff>93132</xdr:rowOff>
    </xdr:from>
    <xdr:ext cx="6244167" cy="7318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feld 11"/>
            <xdr:cNvSpPr txBox="1"/>
          </xdr:nvSpPr>
          <xdr:spPr>
            <a:xfrm>
              <a:off x="11863917" y="3384549"/>
              <a:ext cx="6244167" cy="7318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h</m:t>
                            </m:r>
                          </m:e>
                        </m:acc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𝑎𝑥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𝐿</m:t>
                        </m:r>
                      </m:sub>
                      <m:sup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p>
                    </m:sSubSup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num>
                      <m:den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1+</m:t>
                        </m:r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</m:den>
                        </m:f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𝑐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𝑎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𝑐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𝑎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</m:den>
                        </m:f>
                      </m:den>
                    </m:f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sSubSup>
                      <m:sSubSup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h</m:t>
                            </m:r>
                          </m:e>
                        </m:acc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𝑎𝑥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𝐿</m:t>
                        </m:r>
                      </m:sub>
                      <m:sup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p>
                    </m:sSubSup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num>
                      <m:den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1+</m:t>
                        </m:r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</m:den>
                        </m:f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𝑐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𝑎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𝑐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𝑎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</m:den>
                        </m:f>
                      </m:den>
                    </m:f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sSubSup>
                      <m:sSubSup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h</m:t>
                            </m:r>
                          </m:e>
                        </m:acc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𝑎𝑥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𝐿</m:t>
                        </m:r>
                      </m:sub>
                      <m:sup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p>
                    </m:sSubSup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𝐿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</m:den>
                        </m:f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𝑐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𝑎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𝑐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𝑎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</m:den>
                        </m:f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−1−</m:t>
                        </m:r>
                        <m:sSub>
                          <m:sSub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sub>
                        </m:sSub>
                      </m:num>
                      <m:den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1+</m:t>
                        </m:r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</m:den>
                        </m:f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𝑐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𝑎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𝑐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𝑎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2" name="Textfeld 11"/>
            <xdr:cNvSpPr txBox="1"/>
          </xdr:nvSpPr>
          <xdr:spPr>
            <a:xfrm>
              <a:off x="11863917" y="3384549"/>
              <a:ext cx="6244167" cy="7318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ℎ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 ̅_(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𝑎𝑥,𝐿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^3−3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1+𝑓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𝑓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 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𝑎_𝑅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𝑏_𝑅)/(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𝑎_𝐿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𝑏_𝐿 ))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∙ℎ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 ̅_(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𝑎𝑥,𝐿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^2+3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1+𝑓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𝑓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 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𝑎_𝑅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𝑏_𝑅)/(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𝑎_𝐿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𝑏_𝐿 ))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∙ℎ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 ̅_(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𝑎𝑥,𝐿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^1+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𝐿∙𝑓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𝑓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 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𝑎_𝑅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𝑏_𝑅)/(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𝑎_𝐿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𝑏_𝐿 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−1−𝑎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1+𝑓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𝑓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 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𝑎_𝑅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𝑏_𝑅)/(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𝑎_𝐿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𝑏_𝐿 ))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698499</xdr:colOff>
      <xdr:row>22</xdr:row>
      <xdr:rowOff>71966</xdr:rowOff>
    </xdr:from>
    <xdr:ext cx="3270251" cy="1085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/>
            <xdr:cNvSpPr txBox="1"/>
          </xdr:nvSpPr>
          <xdr:spPr>
            <a:xfrm>
              <a:off x="12795249" y="4453466"/>
              <a:ext cx="3270251" cy="1085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𝑝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de-DE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𝑝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sub>
                        </m:sSub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𝒉</m:t>
                                </m:r>
                              </m:e>
                              <m:sub>
                                <m:r>
                                  <a:rPr lang="en-US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𝒂𝒙</m:t>
                                </m:r>
                              </m:sub>
                              <m:sup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𝟑</m:t>
                                </m:r>
                              </m:sup>
                            </m:sSubSup>
                          </m:num>
                          <m:den>
                            <m:sSup>
                              <m:sSup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de-DE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sSub>
                                          <m:sSubPr>
                                            <m:ctrlPr>
                                              <a:rPr lang="de-DE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de-DE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𝑠</m:t>
                                            </m:r>
                                          </m:e>
                                          <m:sub>
                                            <m:r>
                                              <a:rPr lang="de-DE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𝑟𝑎𝑑</m:t>
                                            </m:r>
                                          </m:sub>
                                        </m:sSub>
                                      </m:num>
                                      <m:den>
                                        <m:r>
                                          <a:rPr lang="de-DE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p>
                            </m:sSup>
                          </m:den>
                        </m:f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𝑝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𝑧</m:t>
                            </m:r>
                          </m:sub>
                        </m:sSub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d>
                          <m:d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𝑙</m:t>
                                </m:r>
                              </m:den>
                            </m:f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𝑙𝑛</m:t>
                            </m:r>
                            <m:f>
                              <m:f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𝑎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3</m:t>
                                    </m:r>
                                  </m:num>
                                  <m:den>
                                    <m: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sSup>
                                  <m:sSup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𝜀</m:t>
                                    </m:r>
                                  </m:e>
                                  <m:sup>
                                    <m: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d>
                            <m:r>
                              <a:rPr lang="de-DE" sz="110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</m:e>
                        </m:d>
                      </m:num>
                      <m:den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𝒉</m:t>
                                </m:r>
                              </m:e>
                              <m:sub>
                                <m:r>
                                  <a:rPr lang="en-US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𝒂𝒙</m:t>
                                </m:r>
                              </m:sub>
                              <m:sup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𝟑</m:t>
                                </m:r>
                              </m:sup>
                            </m:sSubSup>
                          </m:num>
                          <m:den>
                            <m:sSup>
                              <m:sSup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de-DE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sSub>
                                          <m:sSubPr>
                                            <m:ctrlPr>
                                              <a:rPr lang="de-DE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de-DE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𝑠</m:t>
                                            </m:r>
                                          </m:e>
                                          <m:sub>
                                            <m:r>
                                              <a:rPr lang="de-DE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𝑟𝑎𝑑</m:t>
                                            </m:r>
                                          </m:sub>
                                        </m:sSub>
                                      </m:num>
                                      <m:den>
                                        <m:r>
                                          <a:rPr lang="de-DE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p>
                            </m:sSup>
                          </m:den>
                        </m:f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sub>
                            </m:sSub>
                          </m:num>
                          <m:den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𝑙</m:t>
                            </m:r>
                          </m:den>
                        </m:f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𝑙𝑛</m:t>
                        </m:r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𝑎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den>
                        </m:f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 </m:t>
                        </m:r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d>
                          <m:d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num>
                              <m:den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p>
                              <m:sSup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𝜀</m:t>
                                </m:r>
                              </m:e>
                              <m:sup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e>
                        </m:d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12795249" y="4453466"/>
              <a:ext cx="3270251" cy="1085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𝑝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𝑝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𝑎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∙(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𝒉_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𝒂𝒙^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𝟑)/(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𝑠_𝑟𝑎𝑑/2)^3 +𝑝_𝑧∙(𝑟_𝑚/𝑙∙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𝑙𝑛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𝑟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𝑎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𝑟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  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∙(1+3/2∙𝜀^2 )  ))/((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𝒉_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𝒂𝒙^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𝟑)/(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𝑠_𝑟𝑎𝑑/2)^3 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𝑟_𝑚/𝑙∙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𝑙𝑛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𝑟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𝑎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𝑟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   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∙(1+3/2∙𝜀^2 ) )</a:t>
              </a:r>
              <a:endParaRPr lang="de-DE" sz="1100"/>
            </a:p>
          </xdr:txBody>
        </xdr:sp>
      </mc:Fallback>
    </mc:AlternateContent>
    <xdr:clientData/>
  </xdr:oneCellAnchor>
  <xdr:twoCellAnchor>
    <xdr:from>
      <xdr:col>1</xdr:col>
      <xdr:colOff>0</xdr:colOff>
      <xdr:row>30</xdr:row>
      <xdr:rowOff>0</xdr:rowOff>
    </xdr:from>
    <xdr:to>
      <xdr:col>4</xdr:col>
      <xdr:colOff>438150</xdr:colOff>
      <xdr:row>32</xdr:row>
      <xdr:rowOff>66675</xdr:rowOff>
    </xdr:to>
    <xdr:pic>
      <xdr:nvPicPr>
        <xdr:cNvPr id="13" name="Grafik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0" y="5895975"/>
          <a:ext cx="27241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124883</xdr:colOff>
      <xdr:row>38</xdr:row>
      <xdr:rowOff>135467</xdr:rowOff>
    </xdr:from>
    <xdr:ext cx="2478618" cy="4905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/>
            <xdr:cNvSpPr txBox="1"/>
          </xdr:nvSpPr>
          <xdr:spPr>
            <a:xfrm>
              <a:off x="886883" y="7194550"/>
              <a:ext cx="2478618" cy="4905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𝒑</m:t>
                        </m:r>
                      </m:e>
                      <m:sub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𝒓𝒂𝒅</m:t>
                        </m:r>
                      </m:sub>
                    </m:sSub>
                    <m:d>
                      <m:dPr>
                        <m:ctrlP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𝒓</m:t>
                        </m:r>
                      </m:e>
                    </m:d>
                    <m:r>
                      <a:rPr lang="de-DE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𝒑</m:t>
                        </m:r>
                      </m:e>
                      <m:sub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𝒊</m:t>
                        </m:r>
                      </m:sub>
                    </m:sSub>
                    <m:r>
                      <a:rPr lang="de-DE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𝟔</m:t>
                        </m:r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𝜼</m:t>
                        </m:r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acc>
                              <m:accPr>
                                <m:chr m:val="̇"/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n-US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𝑽</m:t>
                                </m:r>
                              </m:e>
                            </m:acc>
                          </m:e>
                          <m:sub>
                            <m: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𝒓𝒂𝒅</m:t>
                            </m:r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,</m:t>
                            </m:r>
                            <m: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𝒓</m:t>
                            </m:r>
                          </m:sub>
                        </m:sSub>
                      </m:num>
                      <m:den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𝝅</m:t>
                        </m:r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sSubSup>
                          <m:sSubSup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𝒉</m:t>
                            </m:r>
                          </m:e>
                          <m:sub>
                            <m: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𝒂𝒙</m:t>
                            </m:r>
                          </m:sub>
                          <m:sup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𝟑</m:t>
                            </m:r>
                          </m:sup>
                        </m:sSubSup>
                      </m:den>
                    </m:f>
                    <m:r>
                      <a:rPr lang="de-DE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r>
                      <a:rPr lang="de-DE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𝒍𝒏</m:t>
                    </m:r>
                    <m:f>
                      <m:fPr>
                        <m:ctrlP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𝒓</m:t>
                        </m:r>
                      </m:num>
                      <m:den>
                        <m:sSub>
                          <m:sSub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𝒓</m:t>
                            </m:r>
                          </m:e>
                          <m:sub>
                            <m: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</m:sSub>
                      </m:den>
                    </m:f>
                    <m:r>
                      <m:rPr>
                        <m:nor/>
                      </m:rPr>
                      <a:rPr lang="en-US" sz="11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886883" y="7194550"/>
              <a:ext cx="2478618" cy="4905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𝒑_𝒓𝒂𝒅 (𝒓)=𝒑_𝒊−(𝟔∙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𝜼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∙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𝑽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 ̇_(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𝒓𝒂𝒅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,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𝒓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))/(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𝝅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∙𝒉_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𝒂𝒙^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𝟑 )∙𝒍𝒏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𝒓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𝒓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𝒊 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603251</xdr:colOff>
      <xdr:row>34</xdr:row>
      <xdr:rowOff>82550</xdr:rowOff>
    </xdr:from>
    <xdr:ext cx="3809999" cy="6372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feld 10"/>
            <xdr:cNvSpPr txBox="1"/>
          </xdr:nvSpPr>
          <xdr:spPr>
            <a:xfrm>
              <a:off x="11842751" y="6623050"/>
              <a:ext cx="3809999" cy="6372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3∙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𝑝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num>
                      <m:den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1+</m:t>
                        </m:r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</m:den>
                        </m:f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𝑐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𝑎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𝑐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𝑎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</m:t>
                                </m:r>
                              </m:sub>
                            </m:sSub>
                          </m:den>
                        </m:f>
                      </m:den>
                    </m:f>
                    <m:d>
                      <m:d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1−</m:t>
                        </m:r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𝑓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𝑅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𝑓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𝐿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f>
                              <m:f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𝑅</m:t>
                                    </m:r>
                                  </m:sub>
                                </m:s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𝑎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𝑅</m:t>
                                    </m:r>
                                  </m:sub>
                                </m:s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𝑏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𝑅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𝐿</m:t>
                                    </m:r>
                                  </m:sub>
                                </m:s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𝑎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𝐿</m:t>
                                    </m:r>
                                  </m:sub>
                                </m:s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𝑏</m:t>
                                    </m:r>
                                  </m:e>
                                  <m:sub>
                                    <m: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𝐿</m:t>
                                    </m:r>
                                  </m:sub>
                                </m:sSub>
                              </m:den>
                            </m:f>
                          </m:den>
                        </m:f>
                      </m:e>
                    </m:d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1" name="Textfeld 10"/>
            <xdr:cNvSpPr txBox="1"/>
          </xdr:nvSpPr>
          <xdr:spPr>
            <a:xfrm>
              <a:off x="11842751" y="6623050"/>
              <a:ext cx="3809999" cy="6372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3∙𝑝=3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1+𝑓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𝑓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 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𝑎_𝑅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𝑏_𝑅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𝑎_𝐿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𝑏_𝐿 ))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1−1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1+𝑓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𝑓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 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𝑎_𝑅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𝑏_𝑅)/(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𝑎_𝐿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𝑏_𝐿 )))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20</xdr:row>
      <xdr:rowOff>177799</xdr:rowOff>
    </xdr:from>
    <xdr:ext cx="2425701" cy="264560"/>
    <xdr:sp macro="" textlink="">
      <xdr:nvSpPr>
        <xdr:cNvPr id="14" name="Textfeld 13"/>
        <xdr:cNvSpPr txBox="1"/>
      </xdr:nvSpPr>
      <xdr:spPr>
        <a:xfrm>
          <a:off x="9956798" y="4040716"/>
          <a:ext cx="24257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518583</xdr:colOff>
      <xdr:row>23</xdr:row>
      <xdr:rowOff>50799</xdr:rowOff>
    </xdr:from>
    <xdr:ext cx="3153833" cy="5709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feld 14"/>
            <xdr:cNvSpPr txBox="1"/>
          </xdr:nvSpPr>
          <xdr:spPr>
            <a:xfrm>
              <a:off x="15716250" y="4485216"/>
              <a:ext cx="3153833" cy="5709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𝑝</m:t>
                        </m:r>
                      </m:e>
                      <m:sub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𝑧</m:t>
                        </m:r>
                      </m:sub>
                    </m:sSub>
                    <m:sSub>
                      <m:sSub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𝑝</m:t>
                        </m:r>
                      </m:e>
                      <m:sub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𝑙</m:t>
                        </m:r>
                      </m:num>
                      <m:den>
                        <m:sSub>
                          <m:sSub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𝑚</m:t>
                            </m:r>
                          </m:sub>
                        </m:sSub>
                      </m:den>
                    </m:f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f>
                      <m:f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6∙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𝜂</m:t>
                        </m:r>
                      </m:num>
                      <m:den>
                        <m:sSup>
                          <m:sSup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𝜋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d>
                              <m:d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de-DE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de-DE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𝑠</m:t>
                                        </m:r>
                                      </m:e>
                                      <m:sub>
                                        <m:r>
                                          <a:rPr lang="de-DE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𝑟𝑎𝑑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p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d>
                          <m:d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num>
                              <m:den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p>
                              <m:sSup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𝜀</m:t>
                                </m:r>
                              </m:e>
                              <m:sup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e>
                        </m:d>
                      </m:den>
                    </m:f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sSub>
                      <m:sSub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acc>
                          <m:accPr>
                            <m:chr m:val="̇"/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𝑎𝑥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𝑥</m:t>
                        </m:r>
                      </m:sub>
                    </m:sSub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5" name="Textfeld 14"/>
            <xdr:cNvSpPr txBox="1"/>
          </xdr:nvSpPr>
          <xdr:spPr>
            <a:xfrm>
              <a:off x="15716250" y="4485216"/>
              <a:ext cx="3153833" cy="5709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𝑝_𝑧 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𝑝〗_𝑖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𝑙/𝑟_𝑚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6∙𝜂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)/(〖𝜋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(𝑠_𝑟𝑎𝑑/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2)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1+3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𝜀^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2 ) 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 ̇_(𝑎𝑥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,𝑥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5</xdr:col>
      <xdr:colOff>370416</xdr:colOff>
      <xdr:row>26</xdr:row>
      <xdr:rowOff>50800</xdr:rowOff>
    </xdr:from>
    <xdr:ext cx="2307166" cy="6040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feld 15"/>
            <xdr:cNvSpPr txBox="1"/>
          </xdr:nvSpPr>
          <xdr:spPr>
            <a:xfrm>
              <a:off x="4222749" y="4813300"/>
              <a:ext cx="2307166" cy="6040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𝑝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sSub>
                      <m:sSub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𝑝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𝑎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6∙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𝜂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𝑙𝑛</m:t>
                        </m:r>
                        <m:d>
                          <m:d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de-D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𝑎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num>
                      <m:den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𝜋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sSubSup>
                          <m:sSubSup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𝒉</m:t>
                            </m:r>
                          </m:e>
                          <m:sub>
                            <m: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𝒂𝒙</m:t>
                            </m:r>
                          </m:sub>
                          <m:sup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𝟑</m:t>
                            </m:r>
                          </m:sup>
                        </m:sSubSup>
                      </m:den>
                    </m:f>
                    <m:sSub>
                      <m:sSub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acc>
                          <m:accPr>
                            <m:chr m:val="̇"/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</m:acc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𝑟𝑎𝑑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𝑟</m:t>
                        </m:r>
                      </m:sub>
                    </m:sSub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6" name="Textfeld 15"/>
            <xdr:cNvSpPr txBox="1"/>
          </xdr:nvSpPr>
          <xdr:spPr>
            <a:xfrm>
              <a:off x="4222749" y="4813300"/>
              <a:ext cx="2307166" cy="6040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𝑝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𝑖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−𝑝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𝑎=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6∙𝜂∙𝑙𝑛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𝑟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𝑟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𝑖 )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𝜋∙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𝒉_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𝒂𝒙^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𝟑 ) 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∙𝑉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 ̇〗_(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𝑟𝑎𝑑,𝑟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de-DE" sz="1100"/>
            </a:p>
          </xdr:txBody>
        </xdr:sp>
      </mc:Fallback>
    </mc:AlternateContent>
    <xdr:clientData/>
  </xdr:oneCellAnchor>
  <xdr:twoCellAnchor editAs="oneCell">
    <xdr:from>
      <xdr:col>0</xdr:col>
      <xdr:colOff>0</xdr:colOff>
      <xdr:row>41</xdr:row>
      <xdr:rowOff>31750</xdr:rowOff>
    </xdr:from>
    <xdr:to>
      <xdr:col>11</xdr:col>
      <xdr:colOff>319617</xdr:colOff>
      <xdr:row>65</xdr:row>
      <xdr:rowOff>146050</xdr:rowOff>
    </xdr:to>
    <xdr:pic>
      <xdr:nvPicPr>
        <xdr:cNvPr id="19" name="Grafik 18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56" t="8555" r="6912" b="10502"/>
        <a:stretch/>
      </xdr:blipFill>
      <xdr:spPr>
        <a:xfrm>
          <a:off x="0" y="7662333"/>
          <a:ext cx="8743950" cy="4686300"/>
        </a:xfrm>
        <a:prstGeom prst="rect">
          <a:avLst/>
        </a:prstGeom>
        <a:ln w="6350">
          <a:solidFill>
            <a:srgbClr val="0070C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bladt.de/technik/maschinenelemente-machine-element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0"/>
  <sheetViews>
    <sheetView showGridLines="0" view="pageLayout" topLeftCell="A16" zoomScaleNormal="100" workbookViewId="0">
      <selection activeCell="F41" sqref="F41"/>
    </sheetView>
  </sheetViews>
  <sheetFormatPr baseColWidth="10" defaultRowHeight="15" x14ac:dyDescent="0.25"/>
  <cols>
    <col min="1" max="1" width="6.42578125" customWidth="1"/>
    <col min="6" max="6" width="31.140625" customWidth="1"/>
    <col min="7" max="7" width="2.7109375" customWidth="1"/>
  </cols>
  <sheetData>
    <row r="3" spans="2:6" ht="21" x14ac:dyDescent="0.35">
      <c r="B3" s="182" t="s">
        <v>92</v>
      </c>
      <c r="C3" s="183"/>
      <c r="D3" s="183"/>
      <c r="E3" s="183"/>
      <c r="F3" s="183"/>
    </row>
    <row r="4" spans="2:6" ht="16.5" x14ac:dyDescent="0.3">
      <c r="B4" s="184" t="s">
        <v>93</v>
      </c>
      <c r="C4" s="185"/>
      <c r="D4" s="185"/>
      <c r="E4" s="185"/>
      <c r="F4" s="185"/>
    </row>
    <row r="5" spans="2:6" ht="16.5" x14ac:dyDescent="0.3">
      <c r="B5" s="107"/>
      <c r="C5" s="108"/>
      <c r="D5" s="108"/>
      <c r="E5" s="108"/>
      <c r="F5" s="108"/>
    </row>
    <row r="6" spans="2:6" ht="16.5" x14ac:dyDescent="0.3">
      <c r="B6" s="107"/>
      <c r="C6" s="108"/>
      <c r="D6" s="108"/>
      <c r="E6" s="108"/>
      <c r="F6" s="108"/>
    </row>
    <row r="7" spans="2:6" ht="18.75" x14ac:dyDescent="0.3">
      <c r="B7" s="191" t="s">
        <v>96</v>
      </c>
      <c r="C7" s="192"/>
      <c r="D7" s="192"/>
      <c r="E7" s="192"/>
      <c r="F7" s="192"/>
    </row>
    <row r="8" spans="2:6" x14ac:dyDescent="0.25">
      <c r="B8" s="193" t="s">
        <v>97</v>
      </c>
      <c r="C8" s="194"/>
      <c r="D8" s="194"/>
      <c r="E8" s="194"/>
      <c r="F8" s="194"/>
    </row>
    <row r="9" spans="2:6" ht="15.75" x14ac:dyDescent="0.25">
      <c r="B9" s="167"/>
      <c r="C9" s="109"/>
      <c r="D9" s="109"/>
      <c r="E9" s="109"/>
      <c r="F9" s="109"/>
    </row>
    <row r="10" spans="2:6" ht="15.75" x14ac:dyDescent="0.25">
      <c r="B10" s="167"/>
      <c r="C10" s="109"/>
      <c r="D10" s="109"/>
      <c r="E10" s="109"/>
      <c r="F10" s="109"/>
    </row>
    <row r="11" spans="2:6" ht="16.5" x14ac:dyDescent="0.3">
      <c r="B11" s="107"/>
      <c r="C11" s="108"/>
      <c r="D11" s="108"/>
      <c r="E11" s="108"/>
      <c r="F11" s="108"/>
    </row>
    <row r="12" spans="2:6" x14ac:dyDescent="0.25">
      <c r="B12" s="186" t="s">
        <v>95</v>
      </c>
      <c r="C12" s="187"/>
      <c r="D12" s="187"/>
      <c r="E12" s="187"/>
      <c r="F12" s="187"/>
    </row>
    <row r="13" spans="2:6" x14ac:dyDescent="0.25">
      <c r="B13" s="186" t="s">
        <v>98</v>
      </c>
      <c r="C13" s="187"/>
      <c r="D13" s="187"/>
      <c r="E13" s="187"/>
      <c r="F13" s="187"/>
    </row>
    <row r="14" spans="2:6" x14ac:dyDescent="0.25">
      <c r="B14" s="188" t="s">
        <v>94</v>
      </c>
      <c r="C14" s="189"/>
      <c r="D14" s="189"/>
      <c r="E14" s="189"/>
      <c r="F14" s="189"/>
    </row>
    <row r="15" spans="2:6" x14ac:dyDescent="0.25">
      <c r="E15" s="168" t="s">
        <v>143</v>
      </c>
    </row>
    <row r="30" spans="2:6" x14ac:dyDescent="0.25">
      <c r="B30" s="190"/>
      <c r="C30" s="190"/>
      <c r="D30" s="190"/>
      <c r="E30" s="190"/>
      <c r="F30" s="190"/>
    </row>
  </sheetData>
  <sheetProtection sheet="1" objects="1" scenarios="1"/>
  <mergeCells count="8">
    <mergeCell ref="B3:F3"/>
    <mergeCell ref="B4:F4"/>
    <mergeCell ref="B12:F12"/>
    <mergeCell ref="B14:F14"/>
    <mergeCell ref="B30:F30"/>
    <mergeCell ref="B7:F7"/>
    <mergeCell ref="B8:F8"/>
    <mergeCell ref="B13:F13"/>
  </mergeCells>
  <hyperlinks>
    <hyperlink ref="B14" r:id="rId1"/>
  </hyperlinks>
  <pageMargins left="0.7" right="0.7" top="0.78740157499999996" bottom="0.78740157499999996" header="0.3" footer="0.3"/>
  <pageSetup paperSize="9" orientation="portrait" r:id="rId2"/>
  <headerFooter>
    <oddHeader>&amp;R&amp;"Arial,Fett"&amp;12&amp;KC00000B</oddHeader>
    <oddFooter>&amp;L&amp;"Arial Narrow,Standard"&amp;10&amp;F
www.jbladt.de &amp;C&amp;"Arial Narrow,Standard"&amp;10Klaus-Jürgen Bladt
Rostock, Germany&amp;R&amp;"Arial Narrow,Standard"&amp;10Edition: 23.03.2016
Print: &amp;D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tabSelected="1" view="pageLayout" zoomScaleNormal="100" workbookViewId="0">
      <selection activeCell="B6" sqref="B6"/>
    </sheetView>
  </sheetViews>
  <sheetFormatPr baseColWidth="10" defaultRowHeight="15" x14ac:dyDescent="0.25"/>
  <cols>
    <col min="1" max="1" width="6" customWidth="1"/>
    <col min="2" max="2" width="48.7109375" customWidth="1"/>
    <col min="6" max="6" width="13.42578125" customWidth="1"/>
    <col min="7" max="7" width="40.28515625" customWidth="1"/>
    <col min="9" max="9" width="0" hidden="1" customWidth="1"/>
  </cols>
  <sheetData>
    <row r="1" spans="1:9" ht="25.5" x14ac:dyDescent="0.25">
      <c r="B1" s="195" t="s">
        <v>149</v>
      </c>
      <c r="C1" s="196"/>
      <c r="D1" s="196"/>
      <c r="E1" s="196"/>
      <c r="F1" s="196"/>
      <c r="G1" s="196"/>
    </row>
    <row r="2" spans="1:9" x14ac:dyDescent="0.25">
      <c r="B2" s="199" t="s">
        <v>99</v>
      </c>
      <c r="C2" s="187"/>
      <c r="D2" s="187"/>
      <c r="E2" s="187"/>
      <c r="F2" s="187"/>
      <c r="G2" s="187"/>
    </row>
    <row r="3" spans="1:9" s="165" customFormat="1" ht="7.5" thickBot="1" x14ac:dyDescent="0.2">
      <c r="B3" s="166"/>
      <c r="C3" s="166"/>
      <c r="D3" s="166"/>
      <c r="E3" s="166"/>
      <c r="F3" s="166"/>
      <c r="G3" s="166"/>
    </row>
    <row r="4" spans="1:9" ht="15.75" thickTop="1" x14ac:dyDescent="0.25">
      <c r="B4" s="90"/>
      <c r="C4" s="91"/>
      <c r="D4" s="91"/>
      <c r="E4" s="202" t="s">
        <v>4</v>
      </c>
      <c r="F4" s="203"/>
      <c r="G4" s="92"/>
    </row>
    <row r="5" spans="1:9" ht="30" x14ac:dyDescent="0.25">
      <c r="A5" s="10"/>
      <c r="B5" s="180" t="s">
        <v>151</v>
      </c>
      <c r="C5" s="18"/>
      <c r="D5" s="18"/>
      <c r="E5" s="30" t="s">
        <v>83</v>
      </c>
      <c r="F5" s="30" t="s">
        <v>82</v>
      </c>
      <c r="G5" s="56" t="s">
        <v>11</v>
      </c>
      <c r="H5" s="5"/>
      <c r="I5" s="5"/>
    </row>
    <row r="6" spans="1:9" ht="15.75" x14ac:dyDescent="0.25">
      <c r="A6" s="3"/>
      <c r="B6" s="70" t="s">
        <v>130</v>
      </c>
      <c r="C6" s="19" t="s">
        <v>22</v>
      </c>
      <c r="D6" s="31" t="s">
        <v>1</v>
      </c>
      <c r="E6" s="151">
        <v>20</v>
      </c>
      <c r="F6" s="151">
        <v>20</v>
      </c>
      <c r="G6" s="57" t="s">
        <v>57</v>
      </c>
      <c r="H6" s="8"/>
      <c r="I6" s="8"/>
    </row>
    <row r="7" spans="1:9" ht="15.75" x14ac:dyDescent="0.25">
      <c r="A7" s="3"/>
      <c r="B7" s="70" t="s">
        <v>14</v>
      </c>
      <c r="C7" s="19" t="s">
        <v>45</v>
      </c>
      <c r="D7" s="31" t="s">
        <v>1</v>
      </c>
      <c r="E7" s="152">
        <v>40</v>
      </c>
      <c r="F7" s="152">
        <v>40</v>
      </c>
      <c r="G7" s="57" t="s">
        <v>58</v>
      </c>
      <c r="H7" s="7"/>
      <c r="I7" s="7"/>
    </row>
    <row r="8" spans="1:9" ht="15.75" x14ac:dyDescent="0.25">
      <c r="A8" s="3"/>
      <c r="B8" s="70" t="s">
        <v>15</v>
      </c>
      <c r="C8" s="19" t="s">
        <v>46</v>
      </c>
      <c r="D8" s="31" t="s">
        <v>1</v>
      </c>
      <c r="E8" s="152">
        <v>26</v>
      </c>
      <c r="F8" s="152">
        <v>26</v>
      </c>
      <c r="G8" s="57" t="s">
        <v>75</v>
      </c>
      <c r="H8" s="7"/>
      <c r="I8" s="7"/>
    </row>
    <row r="9" spans="1:9" ht="15.75" x14ac:dyDescent="0.25">
      <c r="A9" s="3"/>
      <c r="B9" s="70"/>
      <c r="C9" s="19" t="s">
        <v>2</v>
      </c>
      <c r="D9" s="33" t="s">
        <v>2</v>
      </c>
      <c r="E9" s="38" t="s">
        <v>2</v>
      </c>
      <c r="F9" s="38" t="s">
        <v>2</v>
      </c>
      <c r="G9" s="58"/>
      <c r="H9" s="7"/>
      <c r="I9" s="7"/>
    </row>
    <row r="10" spans="1:9" ht="15.75" x14ac:dyDescent="0.25">
      <c r="A10" s="3"/>
      <c r="B10" s="70" t="s">
        <v>131</v>
      </c>
      <c r="C10" s="19" t="s">
        <v>47</v>
      </c>
      <c r="D10" s="31" t="s">
        <v>1</v>
      </c>
      <c r="E10" s="152">
        <v>30</v>
      </c>
      <c r="F10" s="156">
        <f>E10</f>
        <v>30</v>
      </c>
      <c r="G10" s="57" t="s">
        <v>59</v>
      </c>
      <c r="H10" s="7"/>
      <c r="I10" s="7"/>
    </row>
    <row r="11" spans="1:9" ht="15.75" x14ac:dyDescent="0.25">
      <c r="A11" s="3"/>
      <c r="B11" s="70" t="s">
        <v>13</v>
      </c>
      <c r="C11" s="19" t="s">
        <v>48</v>
      </c>
      <c r="D11" s="31" t="s">
        <v>1</v>
      </c>
      <c r="E11" s="152">
        <v>24</v>
      </c>
      <c r="F11" s="156">
        <f>E11</f>
        <v>24</v>
      </c>
      <c r="G11" s="57" t="s">
        <v>64</v>
      </c>
      <c r="H11" s="7"/>
      <c r="I11" s="7"/>
    </row>
    <row r="12" spans="1:9" ht="15.75" x14ac:dyDescent="0.25">
      <c r="A12" s="3"/>
      <c r="B12" s="70"/>
      <c r="C12" s="19"/>
      <c r="D12" s="31"/>
      <c r="E12" s="32"/>
      <c r="F12" s="35"/>
      <c r="G12" s="57"/>
      <c r="H12" s="7"/>
      <c r="I12" s="7"/>
    </row>
    <row r="13" spans="1:9" ht="15.75" x14ac:dyDescent="0.25">
      <c r="A13" s="3"/>
      <c r="B13" s="71" t="s">
        <v>16</v>
      </c>
      <c r="C13" s="19" t="s">
        <v>49</v>
      </c>
      <c r="D13" s="31" t="s">
        <v>1</v>
      </c>
      <c r="E13" s="154">
        <v>0.3</v>
      </c>
      <c r="F13" s="155">
        <f>E13</f>
        <v>0.3</v>
      </c>
      <c r="G13" s="57" t="s">
        <v>60</v>
      </c>
      <c r="H13" s="7"/>
      <c r="I13" s="7"/>
    </row>
    <row r="14" spans="1:9" ht="15.75" x14ac:dyDescent="0.25">
      <c r="A14" s="3"/>
      <c r="B14" s="70" t="s">
        <v>17</v>
      </c>
      <c r="C14" s="19" t="s">
        <v>50</v>
      </c>
      <c r="D14" s="31" t="s">
        <v>1</v>
      </c>
      <c r="E14" s="150">
        <v>0.1</v>
      </c>
      <c r="F14" s="155">
        <f>E14</f>
        <v>0.1</v>
      </c>
      <c r="G14" s="57" t="s">
        <v>61</v>
      </c>
      <c r="H14" s="7"/>
      <c r="I14" s="7"/>
    </row>
    <row r="15" spans="1:9" ht="15.75" x14ac:dyDescent="0.25">
      <c r="A15" s="3"/>
      <c r="B15" s="70" t="s">
        <v>18</v>
      </c>
      <c r="C15" s="20" t="s">
        <v>0</v>
      </c>
      <c r="D15" s="31" t="s">
        <v>2</v>
      </c>
      <c r="E15" s="150">
        <v>0.5</v>
      </c>
      <c r="F15" s="155">
        <f>E15</f>
        <v>0.5</v>
      </c>
      <c r="G15" s="57" t="s">
        <v>63</v>
      </c>
      <c r="H15" s="7"/>
      <c r="I15" s="7"/>
    </row>
    <row r="16" spans="1:9" ht="15.75" x14ac:dyDescent="0.25">
      <c r="A16" s="3"/>
      <c r="B16" s="70"/>
      <c r="C16" s="20"/>
      <c r="D16" s="31"/>
      <c r="E16" s="32"/>
      <c r="F16" s="36"/>
      <c r="G16" s="57"/>
      <c r="H16" s="7"/>
      <c r="I16" s="7"/>
    </row>
    <row r="17" spans="1:9" ht="15.75" x14ac:dyDescent="0.25">
      <c r="A17" s="3"/>
      <c r="B17" s="70" t="s">
        <v>133</v>
      </c>
      <c r="C17" s="19" t="s">
        <v>134</v>
      </c>
      <c r="D17" s="31" t="s">
        <v>3</v>
      </c>
      <c r="E17" s="149">
        <v>0</v>
      </c>
      <c r="F17" s="38">
        <v>0</v>
      </c>
      <c r="G17" s="58"/>
      <c r="H17" s="7"/>
      <c r="I17" s="7"/>
    </row>
    <row r="18" spans="1:9" ht="15.75" x14ac:dyDescent="0.25">
      <c r="A18" s="3"/>
      <c r="B18" s="70" t="s">
        <v>85</v>
      </c>
      <c r="C18" s="19" t="s">
        <v>51</v>
      </c>
      <c r="D18" s="31" t="s">
        <v>3</v>
      </c>
      <c r="E18" s="39">
        <v>10</v>
      </c>
      <c r="F18" s="39">
        <v>10</v>
      </c>
      <c r="G18" s="59"/>
      <c r="H18" s="7"/>
      <c r="I18" s="15"/>
    </row>
    <row r="19" spans="1:9" ht="15.75" x14ac:dyDescent="0.25">
      <c r="A19" s="3"/>
      <c r="B19" s="70" t="s">
        <v>88</v>
      </c>
      <c r="C19" s="20" t="s">
        <v>9</v>
      </c>
      <c r="D19" s="31" t="s">
        <v>32</v>
      </c>
      <c r="E19" s="94">
        <f>0.5*10^(-6)</f>
        <v>4.9999999999999998E-7</v>
      </c>
      <c r="F19" s="106">
        <f>E19</f>
        <v>4.9999999999999998E-7</v>
      </c>
      <c r="G19" s="105" t="s">
        <v>89</v>
      </c>
      <c r="H19" s="7"/>
      <c r="I19" s="14" t="s">
        <v>34</v>
      </c>
    </row>
    <row r="20" spans="1:9" ht="16.5" thickBot="1" x14ac:dyDescent="0.3">
      <c r="A20" s="3"/>
      <c r="B20" s="142" t="s">
        <v>23</v>
      </c>
      <c r="C20" s="143" t="s">
        <v>24</v>
      </c>
      <c r="D20" s="144" t="s">
        <v>25</v>
      </c>
      <c r="E20" s="145">
        <v>30</v>
      </c>
      <c r="F20" s="146">
        <f>E20</f>
        <v>30</v>
      </c>
      <c r="G20" s="147" t="s">
        <v>62</v>
      </c>
      <c r="H20" s="7"/>
      <c r="I20" s="15"/>
    </row>
    <row r="21" spans="1:9" ht="15.75" x14ac:dyDescent="0.25">
      <c r="A21" s="3"/>
      <c r="B21" s="126"/>
      <c r="C21" s="127"/>
      <c r="D21" s="128"/>
      <c r="E21" s="129"/>
      <c r="F21" s="129"/>
      <c r="G21" s="148" t="s">
        <v>34</v>
      </c>
      <c r="H21" s="7"/>
      <c r="I21" s="15"/>
    </row>
    <row r="22" spans="1:9" ht="15.75" x14ac:dyDescent="0.25">
      <c r="A22" s="3"/>
      <c r="B22" s="130" t="s">
        <v>71</v>
      </c>
      <c r="C22" s="112"/>
      <c r="D22" s="113"/>
      <c r="E22" s="114"/>
      <c r="F22" s="114"/>
      <c r="G22" s="131"/>
      <c r="H22" s="7"/>
      <c r="I22" s="15"/>
    </row>
    <row r="23" spans="1:9" ht="15.75" x14ac:dyDescent="0.25">
      <c r="A23" s="3"/>
      <c r="B23" s="132" t="s">
        <v>19</v>
      </c>
      <c r="C23" s="115" t="s">
        <v>5</v>
      </c>
      <c r="D23" s="113" t="s">
        <v>2</v>
      </c>
      <c r="E23" s="116">
        <f>1/8*E14^3/E13^3*E11/E6*LN(E7/E8)*(1+3/2*E15^2)</f>
        <v>3.290702831261805E-3</v>
      </c>
      <c r="F23" s="116">
        <f>1/8*F14^3/F13^3*F11/F6*LN(F7/F8)*(1+3/2*F15^2)</f>
        <v>3.290702831261805E-3</v>
      </c>
      <c r="G23" s="131"/>
      <c r="H23" s="7"/>
      <c r="I23" s="7"/>
    </row>
    <row r="24" spans="1:9" ht="15.75" x14ac:dyDescent="0.25">
      <c r="A24" s="3"/>
      <c r="B24" s="132" t="s">
        <v>19</v>
      </c>
      <c r="C24" s="115" t="s">
        <v>6</v>
      </c>
      <c r="D24" s="113" t="s">
        <v>2</v>
      </c>
      <c r="E24" s="116">
        <f>1/8*E14^3/E13^3*E11/E6*(1+3/2*E15^2)*(E7^2/E8^2*(LN(E7/E8)-1/2)+1/2)</f>
        <v>2.5679850049589057E-3</v>
      </c>
      <c r="F24" s="116">
        <f>1/8*F14^3/F13^3*F11/F6*(1+3/2*F15^2)*(F7^2/F8^2*(LN(F7/F8)-1/2)+1/2)</f>
        <v>2.5679850049589057E-3</v>
      </c>
      <c r="G24" s="131"/>
      <c r="H24" s="7"/>
      <c r="I24" s="7"/>
    </row>
    <row r="25" spans="1:9" ht="15.75" x14ac:dyDescent="0.25">
      <c r="A25" s="3"/>
      <c r="B25" s="132" t="s">
        <v>19</v>
      </c>
      <c r="C25" s="115" t="s">
        <v>7</v>
      </c>
      <c r="D25" s="113" t="s">
        <v>2</v>
      </c>
      <c r="E25" s="116">
        <f>(E7^2-E11^2)/E8^2</f>
        <v>1.514792899408284</v>
      </c>
      <c r="F25" s="116">
        <f>(F7^2-F11^2)/F8^2</f>
        <v>1.514792899408284</v>
      </c>
      <c r="G25" s="131"/>
      <c r="H25" s="7"/>
      <c r="I25" s="7"/>
    </row>
    <row r="26" spans="1:9" ht="15.75" x14ac:dyDescent="0.25">
      <c r="A26" s="3"/>
      <c r="B26" s="132" t="s">
        <v>19</v>
      </c>
      <c r="C26" s="115" t="s">
        <v>8</v>
      </c>
      <c r="D26" s="113" t="s">
        <v>10</v>
      </c>
      <c r="E26" s="117">
        <f>PI()*E8^2*E18</f>
        <v>21237.166338267001</v>
      </c>
      <c r="F26" s="117">
        <f>PI()*F8^2*F18</f>
        <v>21237.166338267001</v>
      </c>
      <c r="G26" s="131"/>
      <c r="H26" s="7"/>
      <c r="I26" s="7"/>
    </row>
    <row r="27" spans="1:9" ht="15.75" x14ac:dyDescent="0.25">
      <c r="A27" s="3"/>
      <c r="B27" s="132"/>
      <c r="C27" s="115"/>
      <c r="D27" s="113"/>
      <c r="E27" s="116"/>
      <c r="F27" s="118"/>
      <c r="G27" s="131"/>
      <c r="H27" s="7"/>
      <c r="I27" s="7"/>
    </row>
    <row r="28" spans="1:9" ht="15.75" x14ac:dyDescent="0.25">
      <c r="A28" s="3"/>
      <c r="B28" s="132" t="s">
        <v>19</v>
      </c>
      <c r="C28" s="119" t="s">
        <v>5</v>
      </c>
      <c r="D28" s="113"/>
      <c r="E28" s="116">
        <f>-3/(1+F26/E26*(F25*F23-F24)/(E25*E23-E24))</f>
        <v>-1.5</v>
      </c>
      <c r="F28" s="118"/>
      <c r="G28" s="131"/>
      <c r="H28" s="7"/>
      <c r="I28" s="7"/>
    </row>
    <row r="29" spans="1:9" ht="15.75" x14ac:dyDescent="0.25">
      <c r="A29" s="3"/>
      <c r="B29" s="132" t="s">
        <v>19</v>
      </c>
      <c r="C29" s="119" t="s">
        <v>6</v>
      </c>
      <c r="D29" s="113"/>
      <c r="E29" s="116">
        <f>-E28</f>
        <v>1.5</v>
      </c>
      <c r="F29" s="118"/>
      <c r="G29" s="131"/>
      <c r="H29" s="7"/>
      <c r="I29" s="7"/>
    </row>
    <row r="30" spans="1:9" ht="15.75" x14ac:dyDescent="0.25">
      <c r="A30" s="3"/>
      <c r="B30" s="132" t="s">
        <v>19</v>
      </c>
      <c r="C30" s="120" t="s">
        <v>101</v>
      </c>
      <c r="D30" s="113"/>
      <c r="E30" s="116">
        <f>(E23*F26/E26*(F25*F23-F24)/(E25*E23-E24)-1-F23)/(1+F26/E26*(F25*F23-F24)/(E25*E23-E24))</f>
        <v>-0.5</v>
      </c>
      <c r="F30" s="118"/>
      <c r="G30" s="131"/>
      <c r="H30" s="7"/>
      <c r="I30" s="7"/>
    </row>
    <row r="31" spans="1:9" ht="15.75" x14ac:dyDescent="0.25">
      <c r="A31" s="3"/>
      <c r="B31" s="132" t="s">
        <v>19</v>
      </c>
      <c r="C31" s="115"/>
      <c r="D31" s="113"/>
      <c r="E31" s="116"/>
      <c r="F31" s="118"/>
      <c r="G31" s="131"/>
      <c r="H31" s="7"/>
      <c r="I31" s="7"/>
    </row>
    <row r="32" spans="1:9" ht="15.75" x14ac:dyDescent="0.25">
      <c r="A32" s="3"/>
      <c r="B32" s="132" t="s">
        <v>19</v>
      </c>
      <c r="C32" s="115" t="s">
        <v>68</v>
      </c>
      <c r="D32" s="113"/>
      <c r="E32" s="116">
        <f>(3*E29-E28^2)/9</f>
        <v>0.25</v>
      </c>
      <c r="F32" s="118"/>
      <c r="G32" s="131"/>
      <c r="H32" s="7"/>
      <c r="I32" s="7"/>
    </row>
    <row r="33" spans="1:9" ht="15.75" x14ac:dyDescent="0.25">
      <c r="A33" s="3"/>
      <c r="B33" s="132" t="s">
        <v>19</v>
      </c>
      <c r="C33" s="115" t="s">
        <v>69</v>
      </c>
      <c r="D33" s="113"/>
      <c r="E33" s="116">
        <f>(2/27*E28^3-E28*E29/3+E30)/2</f>
        <v>0</v>
      </c>
      <c r="F33" s="118"/>
      <c r="G33" s="131"/>
      <c r="H33" s="7"/>
      <c r="I33" s="7"/>
    </row>
    <row r="34" spans="1:9" ht="15.75" x14ac:dyDescent="0.25">
      <c r="A34" s="3"/>
      <c r="B34" s="132" t="s">
        <v>19</v>
      </c>
      <c r="C34" s="112" t="s">
        <v>70</v>
      </c>
      <c r="D34" s="121"/>
      <c r="E34" s="122">
        <f>E32^3+E33^2</f>
        <v>1.5625E-2</v>
      </c>
      <c r="F34" s="123"/>
      <c r="G34" s="133" t="s">
        <v>72</v>
      </c>
      <c r="H34" s="7"/>
      <c r="I34" s="7"/>
    </row>
    <row r="35" spans="1:9" ht="15.75" x14ac:dyDescent="0.25">
      <c r="A35" s="3"/>
      <c r="B35" s="132" t="s">
        <v>19</v>
      </c>
      <c r="C35" s="115" t="s">
        <v>73</v>
      </c>
      <c r="D35" s="113"/>
      <c r="E35" s="116">
        <f>(-E33+E34^0.5)^(1/3)</f>
        <v>0.50000000000000011</v>
      </c>
      <c r="F35" s="118"/>
      <c r="G35" s="134"/>
      <c r="H35" s="7"/>
      <c r="I35" s="7"/>
    </row>
    <row r="36" spans="1:9" ht="15.75" x14ac:dyDescent="0.25">
      <c r="A36" s="3"/>
      <c r="B36" s="132" t="s">
        <v>19</v>
      </c>
      <c r="C36" s="115" t="s">
        <v>74</v>
      </c>
      <c r="D36" s="113"/>
      <c r="E36" s="116">
        <f>(-E33-E34^0.5)^(1/3)</f>
        <v>-0.50000000000000011</v>
      </c>
      <c r="F36" s="118"/>
      <c r="G36" s="134"/>
      <c r="H36" s="7"/>
      <c r="I36" s="7"/>
    </row>
    <row r="37" spans="1:9" ht="16.5" thickBot="1" x14ac:dyDescent="0.3">
      <c r="A37" s="3"/>
      <c r="B37" s="135"/>
      <c r="C37" s="136"/>
      <c r="D37" s="136"/>
      <c r="E37" s="137" t="s">
        <v>12</v>
      </c>
      <c r="F37" s="137" t="s">
        <v>12</v>
      </c>
      <c r="G37" s="138"/>
      <c r="H37" s="7"/>
      <c r="I37" s="7"/>
    </row>
    <row r="38" spans="1:9" ht="15.75" x14ac:dyDescent="0.25">
      <c r="A38" s="3"/>
      <c r="B38" s="72"/>
      <c r="C38" s="21"/>
      <c r="D38" s="21"/>
      <c r="E38" s="40"/>
      <c r="F38" s="40"/>
      <c r="G38" s="63"/>
      <c r="H38" s="7"/>
      <c r="I38" s="7"/>
    </row>
    <row r="39" spans="1:9" ht="15.75" x14ac:dyDescent="0.25">
      <c r="A39" s="3"/>
      <c r="B39" s="73"/>
      <c r="C39" s="11"/>
      <c r="D39" s="11" t="s">
        <v>2</v>
      </c>
      <c r="E39" s="12"/>
      <c r="F39" s="12"/>
      <c r="G39" s="64"/>
      <c r="H39" s="7"/>
      <c r="I39" s="7"/>
    </row>
    <row r="40" spans="1:9" x14ac:dyDescent="0.25">
      <c r="B40" s="74" t="s">
        <v>20</v>
      </c>
      <c r="C40" s="22" t="s">
        <v>52</v>
      </c>
      <c r="D40" s="41" t="s">
        <v>2</v>
      </c>
      <c r="E40" s="13">
        <f>(E35+E36-E28/3)</f>
        <v>0.5</v>
      </c>
      <c r="F40" s="13">
        <f>1-E40</f>
        <v>0.5</v>
      </c>
      <c r="G40" s="102" t="s">
        <v>129</v>
      </c>
      <c r="H40" s="9"/>
      <c r="I40" s="9"/>
    </row>
    <row r="41" spans="1:9" x14ac:dyDescent="0.25">
      <c r="B41" s="75" t="s">
        <v>21</v>
      </c>
      <c r="C41" s="23" t="s">
        <v>84</v>
      </c>
      <c r="D41" s="42" t="s">
        <v>2</v>
      </c>
      <c r="E41" s="84">
        <f>E40*E13</f>
        <v>0.15</v>
      </c>
      <c r="F41" s="84">
        <f>E13-E41</f>
        <v>0.15</v>
      </c>
      <c r="G41" s="181"/>
      <c r="H41" s="9"/>
      <c r="I41" s="9"/>
    </row>
    <row r="42" spans="1:9" hidden="1" x14ac:dyDescent="0.25">
      <c r="B42" s="86" t="s">
        <v>76</v>
      </c>
      <c r="C42" s="87" t="s">
        <v>77</v>
      </c>
      <c r="D42" s="88" t="s">
        <v>10</v>
      </c>
      <c r="E42" s="100">
        <f>E26*(E25*E23-E24)/(E40^3+E23)</f>
        <v>400.06706676923034</v>
      </c>
      <c r="F42" s="100">
        <f>F26*(F25*F23-F24)/(F40^3+F23)</f>
        <v>400.06706676923034</v>
      </c>
      <c r="G42" s="141"/>
      <c r="H42" s="9"/>
      <c r="I42" s="9"/>
    </row>
    <row r="43" spans="1:9" x14ac:dyDescent="0.25">
      <c r="B43" s="77" t="s">
        <v>38</v>
      </c>
      <c r="C43" s="25" t="s">
        <v>53</v>
      </c>
      <c r="D43" s="45" t="s">
        <v>30</v>
      </c>
      <c r="E43" s="46">
        <f>E18*(E11/E6*LN(E7/E8)*(1+3/2*E15^2))/(E41^3/(E14/2)^3+E11/E6*LN(E7/E8)*(1+3/2*E15^2))</f>
        <v>0.25650360927478905</v>
      </c>
      <c r="F43" s="46">
        <f>F18*(F11/F6*LN(F7/F8)*(1+3/2*F15^2))/(F41^3/(F14/2)^3+F11/F6*LN(F7/F8)*(1+3/2*F15^2))</f>
        <v>0.25650360927478905</v>
      </c>
      <c r="G43" s="103"/>
      <c r="H43" s="9"/>
      <c r="I43" s="9"/>
    </row>
    <row r="44" spans="1:9" x14ac:dyDescent="0.25">
      <c r="B44" s="76"/>
      <c r="C44" s="24"/>
      <c r="D44" s="43"/>
      <c r="E44" s="44"/>
      <c r="F44" s="44"/>
      <c r="G44" s="65"/>
      <c r="H44" s="9"/>
      <c r="I44" s="9"/>
    </row>
    <row r="45" spans="1:9" hidden="1" x14ac:dyDescent="0.25">
      <c r="B45" s="76"/>
      <c r="C45" s="24"/>
      <c r="D45" s="43"/>
      <c r="E45" s="101">
        <f>PI()/6/E19*E41^3*E43/LN(E7/E8)</f>
        <v>2104.4441468449436</v>
      </c>
      <c r="F45" s="101">
        <f>PI()/6/F19*F41^3*F43/LN(F7/F8)</f>
        <v>2104.4441468449436</v>
      </c>
      <c r="G45" s="65"/>
      <c r="H45" s="9"/>
      <c r="I45" s="9"/>
    </row>
    <row r="46" spans="1:9" x14ac:dyDescent="0.25">
      <c r="B46" s="78" t="s">
        <v>27</v>
      </c>
      <c r="C46" s="26" t="s">
        <v>65</v>
      </c>
      <c r="D46" s="47" t="s">
        <v>35</v>
      </c>
      <c r="E46" s="48">
        <f>E18*(1-(E11/E6*LN(E7/E8)*(1+3/2*E15^2))/(E41^3/(E14/2)^3+E11/E6*LN(E7/E8)*(1+3/2*E15^2)))*PI()/(6*E19)*E11/E6*(E14/2)^3*(1+3/2*E15^2)</f>
        <v>2104.4441468449436</v>
      </c>
      <c r="F46" s="48">
        <f>F18*(1-(F11/F6*LN(F7/F8)*(1+3/2*F15^2))/(F41^3/(F14/2)^3+F11/F6*LN(F7/F8)*(1+3/2*F15^2)))*PI()/(6*F19)*F11/F6*(F14/2)^3*(1+3/2*F15^2)</f>
        <v>2104.4441468449436</v>
      </c>
      <c r="G46" s="66"/>
      <c r="H46" s="9"/>
      <c r="I46" s="9"/>
    </row>
    <row r="47" spans="1:9" x14ac:dyDescent="0.25">
      <c r="B47" s="78"/>
      <c r="C47" s="26"/>
      <c r="D47" s="47" t="s">
        <v>36</v>
      </c>
      <c r="E47" s="49">
        <f>E46*10^(-6)*60</f>
        <v>0.1262666488106966</v>
      </c>
      <c r="F47" s="49">
        <f>F46*10^(-6)*60</f>
        <v>0.1262666488106966</v>
      </c>
      <c r="G47" s="66"/>
      <c r="H47" s="9"/>
      <c r="I47" s="9"/>
    </row>
    <row r="48" spans="1:9" x14ac:dyDescent="0.25">
      <c r="B48" s="78" t="s">
        <v>28</v>
      </c>
      <c r="C48" s="26" t="s">
        <v>65</v>
      </c>
      <c r="D48" s="47" t="s">
        <v>35</v>
      </c>
      <c r="E48" s="50">
        <f>(E18-F18)*PI()/(6*E19)*E11/E10*(E14/2)^3*(1+3/2*E15^2)</f>
        <v>0</v>
      </c>
      <c r="F48" s="50">
        <f>(F18-E18)*PI()/(6*F19)*F11/F10*(F14/2)^3*(1+3/2*F15^2)</f>
        <v>0</v>
      </c>
      <c r="G48" s="66"/>
      <c r="H48" s="9"/>
      <c r="I48" s="9"/>
    </row>
    <row r="49" spans="2:9" x14ac:dyDescent="0.25">
      <c r="B49" s="78"/>
      <c r="C49" s="26"/>
      <c r="D49" s="47" t="s">
        <v>37</v>
      </c>
      <c r="E49" s="48">
        <f>E48*10^(-6)*60</f>
        <v>0</v>
      </c>
      <c r="F49" s="48">
        <f>F48*10^(-6)*60</f>
        <v>0</v>
      </c>
      <c r="G49" s="66"/>
      <c r="H49" s="9"/>
      <c r="I49" s="9"/>
    </row>
    <row r="50" spans="2:9" x14ac:dyDescent="0.25">
      <c r="B50" s="78" t="s">
        <v>26</v>
      </c>
      <c r="C50" s="26" t="s">
        <v>65</v>
      </c>
      <c r="D50" s="47" t="s">
        <v>35</v>
      </c>
      <c r="E50" s="51">
        <f>E46+E48</f>
        <v>2104.4441468449436</v>
      </c>
      <c r="F50" s="51">
        <f>F46+F48</f>
        <v>2104.4441468449436</v>
      </c>
      <c r="G50" s="67"/>
      <c r="H50" s="9"/>
      <c r="I50" s="9"/>
    </row>
    <row r="51" spans="2:9" x14ac:dyDescent="0.25">
      <c r="B51" s="78"/>
      <c r="C51" s="26"/>
      <c r="D51" s="47"/>
      <c r="E51" s="80">
        <f>E50/10^6*60</f>
        <v>0.12626664881069663</v>
      </c>
      <c r="F51" s="80">
        <f>F50/10^6*60</f>
        <v>0.12626664881069663</v>
      </c>
      <c r="G51" s="67"/>
      <c r="H51" s="9"/>
      <c r="I51" s="9"/>
    </row>
    <row r="52" spans="2:9" x14ac:dyDescent="0.25">
      <c r="B52" s="78" t="s">
        <v>33</v>
      </c>
      <c r="C52" s="26" t="s">
        <v>65</v>
      </c>
      <c r="D52" s="47" t="s">
        <v>35</v>
      </c>
      <c r="E52" s="204">
        <f>E46+F46</f>
        <v>4208.8882936898872</v>
      </c>
      <c r="F52" s="205"/>
      <c r="G52" s="67"/>
      <c r="H52" s="9"/>
      <c r="I52" s="9"/>
    </row>
    <row r="53" spans="2:9" x14ac:dyDescent="0.25">
      <c r="B53" s="78"/>
      <c r="C53" s="26"/>
      <c r="D53" s="47" t="s">
        <v>36</v>
      </c>
      <c r="E53" s="209">
        <f>E52/10^6*60</f>
        <v>0.25253329762139326</v>
      </c>
      <c r="F53" s="210"/>
      <c r="G53" s="67"/>
      <c r="H53" s="9"/>
      <c r="I53" s="9"/>
    </row>
    <row r="54" spans="2:9" x14ac:dyDescent="0.25">
      <c r="B54" s="78"/>
      <c r="C54" s="26"/>
      <c r="D54" s="47"/>
      <c r="E54" s="99"/>
      <c r="F54" s="81"/>
      <c r="G54" s="67"/>
      <c r="H54" s="9"/>
      <c r="I54" s="9"/>
    </row>
    <row r="55" spans="2:9" x14ac:dyDescent="0.25">
      <c r="B55" s="78" t="s">
        <v>147</v>
      </c>
      <c r="C55" s="26" t="s">
        <v>66</v>
      </c>
      <c r="D55" s="47" t="s">
        <v>40</v>
      </c>
      <c r="E55" s="16">
        <f>E18*E46</f>
        <v>21044.441468449437</v>
      </c>
      <c r="F55" s="17">
        <f>F18*F46</f>
        <v>21044.441468449437</v>
      </c>
      <c r="G55" s="67"/>
      <c r="H55" s="9"/>
      <c r="I55" s="9"/>
    </row>
    <row r="56" spans="2:9" x14ac:dyDescent="0.25">
      <c r="B56" s="78" t="s">
        <v>67</v>
      </c>
      <c r="C56" s="26"/>
      <c r="D56" s="47" t="s">
        <v>54</v>
      </c>
      <c r="E56" s="52">
        <f>E55/10^6</f>
        <v>2.1044441468449436E-2</v>
      </c>
      <c r="F56" s="52">
        <f>F55/10^6</f>
        <v>2.1044441468449436E-2</v>
      </c>
      <c r="G56" s="67"/>
      <c r="H56" s="9"/>
      <c r="I56" s="9"/>
    </row>
    <row r="57" spans="2:9" x14ac:dyDescent="0.25">
      <c r="B57" s="76" t="s">
        <v>41</v>
      </c>
      <c r="C57" s="24"/>
      <c r="D57" s="53" t="s">
        <v>12</v>
      </c>
      <c r="E57" s="206"/>
      <c r="F57" s="207"/>
      <c r="G57" s="69" t="s">
        <v>42</v>
      </c>
      <c r="H57" s="9"/>
      <c r="I57" s="9"/>
    </row>
    <row r="58" spans="2:9" x14ac:dyDescent="0.25">
      <c r="B58" s="79" t="s">
        <v>29</v>
      </c>
      <c r="C58" s="27" t="s">
        <v>66</v>
      </c>
      <c r="D58" s="53" t="s">
        <v>55</v>
      </c>
      <c r="E58" s="54">
        <f>E46*(E18-E43)+4*PI()*E19*E20^2*E11^3*E6/E14+6/PI()*E19*E46^2*LN(E7/E8)/E41^3+PI()*E20^2*E19*(E7^4-E8^4)/(2*E41)</f>
        <v>46589.284255095074</v>
      </c>
      <c r="F58" s="54">
        <f>F46*(F18-F43)+1*(4*PI()*F19*F20^2*F11^3*F6/F14+6/PI()*F19*F46^2*LN(F7/F8)/F41^3+PI()*F20^2*F19*(F7^4-F8^4)/(2*F41))</f>
        <v>46589.284255095074</v>
      </c>
      <c r="G58" s="68"/>
      <c r="H58" s="9"/>
      <c r="I58" s="9"/>
    </row>
    <row r="59" spans="2:9" x14ac:dyDescent="0.25">
      <c r="B59" s="79" t="s">
        <v>43</v>
      </c>
      <c r="C59" s="27"/>
      <c r="D59" s="53" t="s">
        <v>56</v>
      </c>
      <c r="E59" s="85">
        <f>E58/10^6</f>
        <v>4.6589284255095072E-2</v>
      </c>
      <c r="F59" s="85">
        <f>F58/10^6</f>
        <v>4.6589284255095072E-2</v>
      </c>
      <c r="G59" s="60"/>
      <c r="H59" s="9"/>
      <c r="I59" s="9"/>
    </row>
    <row r="60" spans="2:9" x14ac:dyDescent="0.25">
      <c r="B60" s="176" t="s">
        <v>31</v>
      </c>
      <c r="C60" s="27" t="s">
        <v>66</v>
      </c>
      <c r="D60" s="53" t="s">
        <v>55</v>
      </c>
      <c r="E60" s="208">
        <f>ABS(E48)*ABS(E18-F18)+4*PI()*E19*E20^2*E11^3*E10/E14</f>
        <v>23451.863495341662</v>
      </c>
      <c r="F60" s="207"/>
      <c r="G60" s="60"/>
      <c r="H60" s="9"/>
      <c r="I60" s="9"/>
    </row>
    <row r="61" spans="2:9" x14ac:dyDescent="0.25">
      <c r="B61" s="176" t="s">
        <v>44</v>
      </c>
      <c r="C61" s="27"/>
      <c r="D61" s="53" t="s">
        <v>56</v>
      </c>
      <c r="E61" s="211">
        <f>E60/10^6</f>
        <v>2.3451863495341663E-2</v>
      </c>
      <c r="F61" s="212"/>
      <c r="G61" s="60"/>
      <c r="H61" s="9"/>
      <c r="I61" s="9"/>
    </row>
    <row r="62" spans="2:9" x14ac:dyDescent="0.25">
      <c r="B62" s="177" t="s">
        <v>39</v>
      </c>
      <c r="C62" s="27" t="s">
        <v>66</v>
      </c>
      <c r="D62" s="53" t="s">
        <v>55</v>
      </c>
      <c r="E62" s="213">
        <f>E58+F58+E60</f>
        <v>116630.43200553181</v>
      </c>
      <c r="F62" s="214"/>
      <c r="G62" s="61"/>
      <c r="H62" s="9"/>
      <c r="I62" s="9"/>
    </row>
    <row r="63" spans="2:9" x14ac:dyDescent="0.25">
      <c r="B63" s="177" t="s">
        <v>91</v>
      </c>
      <c r="C63" s="27"/>
      <c r="D63" s="53" t="s">
        <v>90</v>
      </c>
      <c r="E63" s="197">
        <f>($E$58+$F$58+$E$60)/1000/1000</f>
        <v>0.11663043200553182</v>
      </c>
      <c r="F63" s="198"/>
      <c r="G63" s="61"/>
      <c r="H63" s="9"/>
      <c r="I63" s="9"/>
    </row>
    <row r="64" spans="2:9" ht="15.75" thickBot="1" x14ac:dyDescent="0.3">
      <c r="B64" s="89"/>
      <c r="C64" s="28"/>
      <c r="D64" s="55"/>
      <c r="E64" s="200"/>
      <c r="F64" s="201"/>
      <c r="G64" s="62"/>
      <c r="H64" s="9"/>
      <c r="I64" s="9"/>
    </row>
    <row r="65" spans="2:9" s="173" customFormat="1" ht="9" thickTop="1" x14ac:dyDescent="0.15">
      <c r="B65" s="171"/>
      <c r="C65" s="172"/>
      <c r="D65" s="172"/>
      <c r="E65" s="172"/>
      <c r="F65" s="172"/>
      <c r="G65" s="172"/>
      <c r="H65" s="172"/>
      <c r="I65" s="172"/>
    </row>
    <row r="66" spans="2:9" ht="18" x14ac:dyDescent="0.35">
      <c r="B66" s="93"/>
      <c r="C66" s="95" t="s">
        <v>80</v>
      </c>
      <c r="D66" s="96" t="s">
        <v>78</v>
      </c>
      <c r="E66" s="95" t="s">
        <v>81</v>
      </c>
      <c r="F66" s="96" t="s">
        <v>79</v>
      </c>
      <c r="G66" t="s">
        <v>132</v>
      </c>
    </row>
    <row r="67" spans="2:9" ht="16.5" x14ac:dyDescent="0.3">
      <c r="B67" s="93"/>
      <c r="C67" s="97">
        <f>$E$8+($E$7-$E$8)*0</f>
        <v>26</v>
      </c>
      <c r="D67" s="98">
        <f>$E$43-6*$E$19*$E$46/(PI()*$E$41^3)*LN(C67/$E$8)</f>
        <v>0.25650360927478905</v>
      </c>
      <c r="E67" s="97">
        <f>$F$8+($F$7-$F$8)*0</f>
        <v>26</v>
      </c>
      <c r="F67" s="98">
        <f>$F$43-6*$F$19*$F$46/(PI()*$F$41^3)*LN(E67/$F$8)</f>
        <v>0.25650360927478905</v>
      </c>
    </row>
    <row r="68" spans="2:9" ht="16.5" x14ac:dyDescent="0.3">
      <c r="B68" s="93"/>
      <c r="C68" s="97">
        <f t="shared" ref="C68" si="0">$E$8+($E$7-$E$8)*0.25</f>
        <v>29.5</v>
      </c>
      <c r="D68" s="98">
        <f t="shared" ref="D68:D71" si="1">$E$43-6*$E$19*$E$46/(PI()*$E$41^3)*LN(C68/$E$8)</f>
        <v>0.18130379246615963</v>
      </c>
      <c r="E68" s="97">
        <f>$F$8+($F$7-$F$8)*0.25</f>
        <v>29.5</v>
      </c>
      <c r="F68" s="98">
        <f t="shared" ref="F68:F71" si="2">$F$43-6*$F$19*$F$46/(PI()*$F$41^3)*LN(E68/$F$8)</f>
        <v>0.18130379246615963</v>
      </c>
    </row>
    <row r="69" spans="2:9" ht="16.5" x14ac:dyDescent="0.3">
      <c r="B69" s="93"/>
      <c r="C69" s="97">
        <f>$E$8+($E$7-$E$8)*0.5</f>
        <v>33</v>
      </c>
      <c r="D69" s="98">
        <f t="shared" si="1"/>
        <v>0.11454512921423413</v>
      </c>
      <c r="E69" s="97">
        <f>$F$8+($F$7-$F$8)*0.5</f>
        <v>33</v>
      </c>
      <c r="F69" s="98">
        <f t="shared" si="2"/>
        <v>0.11454512921423413</v>
      </c>
    </row>
    <row r="70" spans="2:9" ht="16.5" x14ac:dyDescent="0.3">
      <c r="B70" s="93"/>
      <c r="C70" s="97">
        <f>$E$8+($E$7-$E$8)*0.75</f>
        <v>36.5</v>
      </c>
      <c r="D70" s="98">
        <f t="shared" si="1"/>
        <v>5.4522393421494481E-2</v>
      </c>
      <c r="E70" s="97">
        <f>$F$8+($F$7-$F$8)*0.75</f>
        <v>36.5</v>
      </c>
      <c r="F70" s="98">
        <f t="shared" si="2"/>
        <v>5.4522393421494481E-2</v>
      </c>
    </row>
    <row r="71" spans="2:9" ht="16.5" x14ac:dyDescent="0.3">
      <c r="B71" s="93"/>
      <c r="C71" s="97">
        <f>$E$8+($E$7-$E$8)*1</f>
        <v>40</v>
      </c>
      <c r="D71" s="98">
        <f t="shared" si="1"/>
        <v>0</v>
      </c>
      <c r="E71" s="97">
        <f>$F$8+($F$7-$F$8)*1</f>
        <v>40</v>
      </c>
      <c r="F71" s="98">
        <f t="shared" si="2"/>
        <v>0</v>
      </c>
    </row>
  </sheetData>
  <sheetProtection sheet="1" objects="1" scenarios="1"/>
  <mergeCells count="11">
    <mergeCell ref="B1:G1"/>
    <mergeCell ref="E63:F63"/>
    <mergeCell ref="B2:G2"/>
    <mergeCell ref="E64:F64"/>
    <mergeCell ref="E4:F4"/>
    <mergeCell ref="E52:F52"/>
    <mergeCell ref="E57:F57"/>
    <mergeCell ref="E60:F60"/>
    <mergeCell ref="E53:F53"/>
    <mergeCell ref="E61:F61"/>
    <mergeCell ref="E62:F62"/>
  </mergeCells>
  <conditionalFormatting sqref="F40">
    <cfRule type="cellIs" dxfId="3" priority="1" operator="lessThan">
      <formula>0</formula>
    </cfRule>
  </conditionalFormatting>
  <conditionalFormatting sqref="E40">
    <cfRule type="cellIs" dxfId="2" priority="2" operator="lessThan">
      <formula>0</formula>
    </cfRule>
  </conditionalFormatting>
  <printOptions horizontalCentered="1" verticalCentered="1"/>
  <pageMargins left="0.78740157480314965" right="0.51181102362204722" top="0.39370078740157483" bottom="0.59055118110236227" header="0.31496062992125984" footer="0.39370078740157483"/>
  <pageSetup paperSize="9" scale="57" orientation="portrait" r:id="rId1"/>
  <headerFooter>
    <oddHeader>&amp;R&amp;"Arial,Fett"&amp;KC00000B</oddHeader>
    <oddFooter>&amp;L&amp;"Arial Narrow,Standard"&amp;10&amp;F
www.jbladt.de&amp;C&amp;"Arial Narrow,Standard"&amp;10K.-J. Bladt
Rostock, Germany&amp;R&amp;"Arial Narrow,Standard"&amp;10Edition: 23.03.2016
Print: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showRowColHeaders="0" view="pageLayout" topLeftCell="A34" zoomScale="93" zoomScaleNormal="70" zoomScalePageLayoutView="93" workbookViewId="0">
      <selection activeCell="H53" sqref="H53"/>
    </sheetView>
  </sheetViews>
  <sheetFormatPr baseColWidth="10" defaultRowHeight="15" x14ac:dyDescent="0.25"/>
  <cols>
    <col min="1" max="1" width="6" customWidth="1"/>
    <col min="2" max="2" width="48.7109375" customWidth="1"/>
    <col min="5" max="5" width="13.28515625" customWidth="1"/>
    <col min="6" max="6" width="14.5703125" customWidth="1"/>
    <col min="7" max="7" width="36.42578125" bestFit="1" customWidth="1"/>
    <col min="9" max="9" width="0" hidden="1" customWidth="1"/>
  </cols>
  <sheetData>
    <row r="1" spans="1:9" ht="25.5" x14ac:dyDescent="0.25">
      <c r="B1" s="195" t="s">
        <v>100</v>
      </c>
      <c r="C1" s="196"/>
      <c r="D1" s="196"/>
      <c r="E1" s="196"/>
      <c r="F1" s="196"/>
      <c r="G1" s="196"/>
    </row>
    <row r="2" spans="1:9" x14ac:dyDescent="0.25">
      <c r="B2" s="199" t="s">
        <v>99</v>
      </c>
      <c r="C2" s="187"/>
      <c r="D2" s="187"/>
      <c r="E2" s="187"/>
      <c r="F2" s="187"/>
      <c r="G2" s="187"/>
    </row>
    <row r="3" spans="1:9" s="163" customFormat="1" ht="7.5" thickBot="1" x14ac:dyDescent="0.2">
      <c r="B3" s="164"/>
      <c r="C3" s="164"/>
      <c r="D3" s="164"/>
      <c r="E3" s="164"/>
      <c r="F3" s="164"/>
      <c r="G3" s="164"/>
    </row>
    <row r="4" spans="1:9" ht="15.75" thickTop="1" x14ac:dyDescent="0.25">
      <c r="B4" s="90"/>
      <c r="C4" s="91"/>
      <c r="D4" s="91"/>
      <c r="E4" s="202" t="s">
        <v>142</v>
      </c>
      <c r="F4" s="203"/>
      <c r="G4" s="92"/>
    </row>
    <row r="5" spans="1:9" ht="37.5" customHeight="1" x14ac:dyDescent="0.25">
      <c r="A5" s="10"/>
      <c r="B5" s="29" t="s">
        <v>150</v>
      </c>
      <c r="C5" s="18"/>
      <c r="D5" s="18"/>
      <c r="E5" s="30" t="s">
        <v>83</v>
      </c>
      <c r="F5" s="30" t="s">
        <v>82</v>
      </c>
      <c r="G5" s="56" t="s">
        <v>11</v>
      </c>
      <c r="H5" s="5"/>
      <c r="I5" s="5"/>
    </row>
    <row r="6" spans="1:9" ht="15.75" x14ac:dyDescent="0.25">
      <c r="A6" s="3"/>
      <c r="B6" s="70" t="s">
        <v>104</v>
      </c>
      <c r="C6" s="19" t="s">
        <v>22</v>
      </c>
      <c r="D6" s="31" t="s">
        <v>1</v>
      </c>
      <c r="E6" s="178">
        <v>20</v>
      </c>
      <c r="F6" s="178">
        <v>10</v>
      </c>
      <c r="G6" s="57" t="s">
        <v>57</v>
      </c>
      <c r="H6" s="8"/>
      <c r="I6" s="8"/>
    </row>
    <row r="7" spans="1:9" ht="15.75" x14ac:dyDescent="0.25">
      <c r="A7" s="3"/>
      <c r="B7" s="70" t="s">
        <v>103</v>
      </c>
      <c r="C7" s="19" t="s">
        <v>45</v>
      </c>
      <c r="D7" s="31" t="s">
        <v>1</v>
      </c>
      <c r="E7" s="178">
        <v>50</v>
      </c>
      <c r="F7" s="178">
        <v>30</v>
      </c>
      <c r="G7" s="57" t="s">
        <v>58</v>
      </c>
      <c r="H7" s="7"/>
      <c r="I7" s="7"/>
    </row>
    <row r="8" spans="1:9" ht="15.75" x14ac:dyDescent="0.25">
      <c r="A8" s="3"/>
      <c r="B8" s="70" t="s">
        <v>102</v>
      </c>
      <c r="C8" s="19" t="s">
        <v>46</v>
      </c>
      <c r="D8" s="31" t="s">
        <v>1</v>
      </c>
      <c r="E8" s="153">
        <v>26</v>
      </c>
      <c r="F8" s="153">
        <v>26</v>
      </c>
      <c r="G8" s="57" t="s">
        <v>75</v>
      </c>
      <c r="H8" s="7"/>
      <c r="I8" s="7"/>
    </row>
    <row r="9" spans="1:9" ht="15.75" x14ac:dyDescent="0.25">
      <c r="A9" s="3"/>
      <c r="B9" s="70"/>
      <c r="C9" s="19" t="s">
        <v>2</v>
      </c>
      <c r="D9" s="33" t="s">
        <v>2</v>
      </c>
      <c r="E9" s="34" t="s">
        <v>2</v>
      </c>
      <c r="F9" s="34" t="s">
        <v>2</v>
      </c>
      <c r="G9" s="58"/>
      <c r="H9" s="7"/>
      <c r="I9" s="7"/>
    </row>
    <row r="10" spans="1:9" ht="15.75" x14ac:dyDescent="0.25">
      <c r="A10" s="3"/>
      <c r="B10" s="70" t="s">
        <v>105</v>
      </c>
      <c r="C10" s="19" t="s">
        <v>47</v>
      </c>
      <c r="D10" s="31" t="s">
        <v>1</v>
      </c>
      <c r="E10" s="152">
        <v>30</v>
      </c>
      <c r="F10" s="156">
        <f>E10</f>
        <v>30</v>
      </c>
      <c r="G10" s="57" t="s">
        <v>59</v>
      </c>
      <c r="H10" s="7"/>
      <c r="I10" s="7"/>
    </row>
    <row r="11" spans="1:9" ht="15.75" x14ac:dyDescent="0.25">
      <c r="A11" s="3"/>
      <c r="B11" s="70" t="s">
        <v>106</v>
      </c>
      <c r="C11" s="19" t="s">
        <v>48</v>
      </c>
      <c r="D11" s="31" t="s">
        <v>1</v>
      </c>
      <c r="E11" s="152">
        <v>24</v>
      </c>
      <c r="F11" s="156">
        <f>E11</f>
        <v>24</v>
      </c>
      <c r="G11" s="57" t="s">
        <v>64</v>
      </c>
      <c r="H11" s="7"/>
      <c r="I11" s="7"/>
    </row>
    <row r="12" spans="1:9" ht="15.75" x14ac:dyDescent="0.25">
      <c r="A12" s="3"/>
      <c r="B12" s="70"/>
      <c r="C12" s="19"/>
      <c r="D12" s="31"/>
      <c r="E12" s="152"/>
      <c r="F12" s="156"/>
      <c r="G12" s="57"/>
      <c r="H12" s="7"/>
      <c r="I12" s="7"/>
    </row>
    <row r="13" spans="1:9" ht="15.75" x14ac:dyDescent="0.25">
      <c r="A13" s="3"/>
      <c r="B13" s="71" t="s">
        <v>107</v>
      </c>
      <c r="C13" s="19" t="s">
        <v>49</v>
      </c>
      <c r="D13" s="31" t="s">
        <v>1</v>
      </c>
      <c r="E13" s="154">
        <v>0.3</v>
      </c>
      <c r="F13" s="155">
        <f>E13</f>
        <v>0.3</v>
      </c>
      <c r="G13" s="57" t="s">
        <v>60</v>
      </c>
      <c r="H13" s="7"/>
      <c r="I13" s="7"/>
    </row>
    <row r="14" spans="1:9" ht="15.75" x14ac:dyDescent="0.25">
      <c r="A14" s="3"/>
      <c r="B14" s="70" t="s">
        <v>108</v>
      </c>
      <c r="C14" s="19" t="s">
        <v>50</v>
      </c>
      <c r="D14" s="31" t="s">
        <v>1</v>
      </c>
      <c r="E14" s="150">
        <v>0.1</v>
      </c>
      <c r="F14" s="155">
        <f>E14</f>
        <v>0.1</v>
      </c>
      <c r="G14" s="57" t="s">
        <v>61</v>
      </c>
      <c r="H14" s="7"/>
      <c r="I14" s="7"/>
    </row>
    <row r="15" spans="1:9" ht="15.75" x14ac:dyDescent="0.25">
      <c r="A15" s="3"/>
      <c r="B15" s="70" t="s">
        <v>109</v>
      </c>
      <c r="C15" s="20" t="s">
        <v>0</v>
      </c>
      <c r="D15" s="31" t="s">
        <v>2</v>
      </c>
      <c r="E15" s="150">
        <v>1</v>
      </c>
      <c r="F15" s="155">
        <f>E15</f>
        <v>1</v>
      </c>
      <c r="G15" s="57" t="s">
        <v>63</v>
      </c>
      <c r="H15" s="7"/>
      <c r="I15" s="7"/>
    </row>
    <row r="16" spans="1:9" ht="15.75" x14ac:dyDescent="0.25">
      <c r="A16" s="3"/>
      <c r="B16" s="70"/>
      <c r="C16" s="20"/>
      <c r="D16" s="31"/>
      <c r="E16" s="37"/>
      <c r="F16" s="38"/>
      <c r="G16" s="58"/>
      <c r="H16" s="7"/>
      <c r="I16" s="7"/>
    </row>
    <row r="17" spans="1:9" ht="15.75" x14ac:dyDescent="0.25">
      <c r="A17" s="3"/>
      <c r="B17" s="70" t="s">
        <v>136</v>
      </c>
      <c r="C17" s="158" t="s">
        <v>137</v>
      </c>
      <c r="D17" s="159" t="s">
        <v>3</v>
      </c>
      <c r="E17" s="157">
        <v>0</v>
      </c>
      <c r="F17" s="157">
        <v>0</v>
      </c>
      <c r="G17" s="58"/>
      <c r="H17" s="7"/>
      <c r="I17" s="7"/>
    </row>
    <row r="18" spans="1:9" ht="15.75" x14ac:dyDescent="0.25">
      <c r="A18" s="3"/>
      <c r="B18" s="70" t="s">
        <v>110</v>
      </c>
      <c r="C18" s="19" t="s">
        <v>51</v>
      </c>
      <c r="D18" s="159" t="s">
        <v>3</v>
      </c>
      <c r="E18" s="39">
        <v>10</v>
      </c>
      <c r="F18" s="39">
        <v>5</v>
      </c>
      <c r="G18" s="59"/>
      <c r="H18" s="7"/>
      <c r="I18" s="15"/>
    </row>
    <row r="19" spans="1:9" ht="15.75" x14ac:dyDescent="0.25">
      <c r="A19" s="3"/>
      <c r="B19" s="70" t="s">
        <v>111</v>
      </c>
      <c r="C19" s="20" t="s">
        <v>9</v>
      </c>
      <c r="D19" s="31" t="s">
        <v>32</v>
      </c>
      <c r="E19" s="94">
        <f>0.5*10^(-6)</f>
        <v>4.9999999999999998E-7</v>
      </c>
      <c r="F19" s="106">
        <f>E19</f>
        <v>4.9999999999999998E-7</v>
      </c>
      <c r="G19" s="179" t="s">
        <v>148</v>
      </c>
      <c r="H19" s="7"/>
      <c r="I19" s="14" t="s">
        <v>34</v>
      </c>
    </row>
    <row r="20" spans="1:9" ht="16.5" thickBot="1" x14ac:dyDescent="0.3">
      <c r="A20" s="3"/>
      <c r="B20" s="110" t="s">
        <v>112</v>
      </c>
      <c r="C20" s="111" t="s">
        <v>24</v>
      </c>
      <c r="D20" s="82" t="s">
        <v>25</v>
      </c>
      <c r="E20" s="124">
        <v>30</v>
      </c>
      <c r="F20" s="125">
        <f>E20</f>
        <v>30</v>
      </c>
      <c r="G20" s="83" t="s">
        <v>62</v>
      </c>
      <c r="H20" s="7"/>
      <c r="I20" s="15"/>
    </row>
    <row r="21" spans="1:9" ht="15.75" x14ac:dyDescent="0.25">
      <c r="A21" s="3"/>
      <c r="B21" s="126"/>
      <c r="C21" s="127"/>
      <c r="D21" s="128"/>
      <c r="E21" s="129"/>
      <c r="F21" s="129"/>
      <c r="G21" s="148" t="s">
        <v>34</v>
      </c>
      <c r="H21" s="7"/>
      <c r="I21" s="15"/>
    </row>
    <row r="22" spans="1:9" ht="15.75" x14ac:dyDescent="0.25">
      <c r="A22" s="3"/>
      <c r="B22" s="130" t="s">
        <v>71</v>
      </c>
      <c r="C22" s="112"/>
      <c r="D22" s="113"/>
      <c r="E22" s="114"/>
      <c r="F22" s="114"/>
      <c r="G22" s="131"/>
      <c r="H22" s="7"/>
      <c r="I22" s="15"/>
    </row>
    <row r="23" spans="1:9" ht="15.75" x14ac:dyDescent="0.25">
      <c r="A23" s="3"/>
      <c r="B23" s="132" t="s">
        <v>19</v>
      </c>
      <c r="C23" s="115" t="s">
        <v>5</v>
      </c>
      <c r="D23" s="113" t="s">
        <v>2</v>
      </c>
      <c r="E23" s="116">
        <f>1/8*E14^3/E13^3*E11/E6*LN(E7/E8)*(1+3/2*E15^2)</f>
        <v>9.0823120473147827E-3</v>
      </c>
      <c r="F23" s="116">
        <f>1/8*F14^3/F13^3*F11/F6*LN(F7/F8)*(1+3/2*F15^2)</f>
        <v>3.9750234344631472E-3</v>
      </c>
      <c r="G23" s="131"/>
      <c r="H23" s="7"/>
      <c r="I23" s="7"/>
    </row>
    <row r="24" spans="1:9" ht="15.75" x14ac:dyDescent="0.25">
      <c r="A24" s="3"/>
      <c r="B24" s="132" t="s">
        <v>19</v>
      </c>
      <c r="C24" s="115" t="s">
        <v>6</v>
      </c>
      <c r="D24" s="113" t="s">
        <v>2</v>
      </c>
      <c r="E24" s="116">
        <f>1/8*E14^3/E13^3*E11/E6*(1+3/2*E15^2)*(E7^2/E8^2*(LN(E7/E8)-1/2)+1/2)</f>
        <v>1.4850759543816988E-2</v>
      </c>
      <c r="F24" s="116">
        <f>1/8*F14^3/F13^3*F11/F6*(1+3/2*F15^2)*(F7^2/F8^2*(LN(F7/F8)-1/2)+1/2)</f>
        <v>6.899555915765085E-4</v>
      </c>
      <c r="G24" s="131"/>
      <c r="H24" s="7"/>
      <c r="I24" s="7"/>
    </row>
    <row r="25" spans="1:9" ht="15.75" x14ac:dyDescent="0.25">
      <c r="A25" s="3"/>
      <c r="B25" s="132" t="s">
        <v>19</v>
      </c>
      <c r="C25" s="115" t="s">
        <v>7</v>
      </c>
      <c r="D25" s="113" t="s">
        <v>2</v>
      </c>
      <c r="E25" s="116">
        <f>(E7^2-E11^2)/E8^2</f>
        <v>2.8461538461538463</v>
      </c>
      <c r="F25" s="116">
        <f>(F7^2-F11^2)/F8^2</f>
        <v>0.47928994082840237</v>
      </c>
      <c r="G25" s="131"/>
      <c r="H25" s="7"/>
      <c r="I25" s="7"/>
    </row>
    <row r="26" spans="1:9" ht="15.75" x14ac:dyDescent="0.25">
      <c r="A26" s="3"/>
      <c r="B26" s="132" t="s">
        <v>19</v>
      </c>
      <c r="C26" s="115" t="s">
        <v>8</v>
      </c>
      <c r="D26" s="113" t="s">
        <v>10</v>
      </c>
      <c r="E26" s="117">
        <f>PI()*E8^2*E18</f>
        <v>21237.166338267001</v>
      </c>
      <c r="F26" s="117">
        <f>PI()*F8^2*F18</f>
        <v>10618.583169133501</v>
      </c>
      <c r="G26" s="131"/>
      <c r="H26" s="7"/>
      <c r="I26" s="7"/>
    </row>
    <row r="27" spans="1:9" ht="15.75" x14ac:dyDescent="0.25">
      <c r="A27" s="3"/>
      <c r="B27" s="132"/>
      <c r="C27" s="115"/>
      <c r="D27" s="113"/>
      <c r="E27" s="116"/>
      <c r="F27" s="118"/>
      <c r="G27" s="131"/>
      <c r="H27" s="7"/>
      <c r="I27" s="7"/>
    </row>
    <row r="28" spans="1:9" ht="15.75" x14ac:dyDescent="0.25">
      <c r="A28" s="3"/>
      <c r="B28" s="132" t="s">
        <v>19</v>
      </c>
      <c r="C28" s="119" t="s">
        <v>5</v>
      </c>
      <c r="D28" s="113"/>
      <c r="E28" s="116">
        <f>-3/(1+F26/E26*(F25*F23-F24)/(E25*E23-E24))</f>
        <v>-2.842945981025315</v>
      </c>
      <c r="F28" s="118"/>
      <c r="G28" s="131"/>
      <c r="H28" s="7"/>
      <c r="I28" s="7"/>
    </row>
    <row r="29" spans="1:9" ht="15.75" x14ac:dyDescent="0.25">
      <c r="A29" s="3"/>
      <c r="B29" s="132" t="s">
        <v>19</v>
      </c>
      <c r="C29" s="119" t="s">
        <v>6</v>
      </c>
      <c r="D29" s="113"/>
      <c r="E29" s="116">
        <f>-E28</f>
        <v>2.842945981025315</v>
      </c>
      <c r="F29" s="118"/>
      <c r="G29" s="131"/>
      <c r="H29" s="7"/>
      <c r="I29" s="7"/>
    </row>
    <row r="30" spans="1:9" ht="15.75" x14ac:dyDescent="0.25">
      <c r="A30" s="3"/>
      <c r="B30" s="132" t="s">
        <v>19</v>
      </c>
      <c r="C30" s="120" t="s">
        <v>101</v>
      </c>
      <c r="D30" s="113"/>
      <c r="E30" s="116">
        <f>(E23*F26/E26*(F25*F23-F24)/(E25*E23-E24)-1-F23)/(1+F26/E26*(F25*F23-F24)/(E25*E23-E24))</f>
        <v>-0.95094011477139673</v>
      </c>
      <c r="F30" s="118"/>
      <c r="G30" s="131"/>
      <c r="H30" s="7"/>
      <c r="I30" s="7"/>
    </row>
    <row r="31" spans="1:9" ht="15.75" x14ac:dyDescent="0.25">
      <c r="A31" s="3"/>
      <c r="B31" s="132" t="s">
        <v>19</v>
      </c>
      <c r="C31" s="115"/>
      <c r="D31" s="113"/>
      <c r="E31" s="116"/>
      <c r="F31" s="118"/>
      <c r="G31" s="131"/>
      <c r="H31" s="7"/>
      <c r="I31" s="7"/>
    </row>
    <row r="32" spans="1:9" ht="15.75" x14ac:dyDescent="0.25">
      <c r="A32" s="3"/>
      <c r="B32" s="132" t="s">
        <v>19</v>
      </c>
      <c r="C32" s="115" t="s">
        <v>68</v>
      </c>
      <c r="D32" s="113"/>
      <c r="E32" s="116">
        <f>(3*E29-E28^2)/9</f>
        <v>4.96106768942172E-2</v>
      </c>
      <c r="F32" s="118"/>
      <c r="G32" s="131"/>
      <c r="H32" s="7"/>
      <c r="I32" s="7"/>
    </row>
    <row r="33" spans="1:9" ht="15.75" x14ac:dyDescent="0.25">
      <c r="A33" s="3"/>
      <c r="B33" s="132" t="s">
        <v>19</v>
      </c>
      <c r="C33" s="115" t="s">
        <v>69</v>
      </c>
      <c r="D33" s="113"/>
      <c r="E33" s="116">
        <f>(2/27*E28^3-E28*E29/3+E30)/2</f>
        <v>2.0562425835532139E-2</v>
      </c>
      <c r="F33" s="118"/>
      <c r="G33" s="131"/>
      <c r="H33" s="7"/>
      <c r="I33" s="7"/>
    </row>
    <row r="34" spans="1:9" ht="15.75" x14ac:dyDescent="0.25">
      <c r="A34" s="3"/>
      <c r="B34" s="132" t="s">
        <v>19</v>
      </c>
      <c r="C34" s="112" t="s">
        <v>70</v>
      </c>
      <c r="D34" s="121"/>
      <c r="E34" s="122">
        <f>E32^3+E33^2</f>
        <v>5.449161098098241E-4</v>
      </c>
      <c r="F34" s="123"/>
      <c r="G34" s="133" t="s">
        <v>72</v>
      </c>
      <c r="H34" s="7"/>
      <c r="I34" s="7"/>
    </row>
    <row r="35" spans="1:9" ht="15.75" x14ac:dyDescent="0.25">
      <c r="A35" s="3"/>
      <c r="B35" s="132" t="s">
        <v>19</v>
      </c>
      <c r="C35" s="115" t="s">
        <v>73</v>
      </c>
      <c r="D35" s="113"/>
      <c r="E35" s="116">
        <f>(-E33+E34^0.5)^(1/3)</f>
        <v>0.14062665385552814</v>
      </c>
      <c r="F35" s="118"/>
      <c r="G35" s="134"/>
      <c r="H35" s="7"/>
      <c r="I35" s="7"/>
    </row>
    <row r="36" spans="1:9" ht="15.75" x14ac:dyDescent="0.25">
      <c r="A36" s="3"/>
      <c r="B36" s="132" t="s">
        <v>19</v>
      </c>
      <c r="C36" s="115" t="s">
        <v>74</v>
      </c>
      <c r="D36" s="113"/>
      <c r="E36" s="116">
        <f>(-E33-E34^0.5)^(1/3)</f>
        <v>-0.35278288670072755</v>
      </c>
      <c r="F36" s="118"/>
      <c r="G36" s="134"/>
      <c r="H36" s="7"/>
      <c r="I36" s="7"/>
    </row>
    <row r="37" spans="1:9" ht="16.5" thickBot="1" x14ac:dyDescent="0.3">
      <c r="A37" s="3"/>
      <c r="B37" s="135"/>
      <c r="C37" s="136"/>
      <c r="D37" s="136"/>
      <c r="E37" s="137" t="s">
        <v>12</v>
      </c>
      <c r="F37" s="137" t="s">
        <v>12</v>
      </c>
      <c r="G37" s="138"/>
      <c r="H37" s="7"/>
      <c r="I37" s="7"/>
    </row>
    <row r="38" spans="1:9" ht="15.75" x14ac:dyDescent="0.25">
      <c r="A38" s="3"/>
      <c r="B38" s="72"/>
      <c r="C38" s="21"/>
      <c r="D38" s="21"/>
      <c r="E38" s="40"/>
      <c r="F38" s="40"/>
      <c r="G38" s="63"/>
      <c r="H38" s="7"/>
      <c r="I38" s="7"/>
    </row>
    <row r="39" spans="1:9" ht="15.75" x14ac:dyDescent="0.25">
      <c r="A39" s="3"/>
      <c r="B39" s="139" t="s">
        <v>113</v>
      </c>
      <c r="C39" s="11"/>
      <c r="D39" s="11" t="s">
        <v>2</v>
      </c>
      <c r="E39" s="12"/>
      <c r="F39" s="12"/>
      <c r="G39" s="64"/>
      <c r="H39" s="7"/>
      <c r="I39" s="7"/>
    </row>
    <row r="40" spans="1:9" x14ac:dyDescent="0.25">
      <c r="B40" s="74" t="s">
        <v>114</v>
      </c>
      <c r="C40" s="22" t="s">
        <v>52</v>
      </c>
      <c r="D40" s="41" t="s">
        <v>2</v>
      </c>
      <c r="E40" s="13">
        <f>(E35+E36-E28/3)</f>
        <v>0.73549242749657218</v>
      </c>
      <c r="F40" s="13">
        <f>1-E40</f>
        <v>0.26450757250342782</v>
      </c>
      <c r="G40" s="102" t="s">
        <v>129</v>
      </c>
      <c r="H40" s="9"/>
      <c r="I40" s="9"/>
    </row>
    <row r="41" spans="1:9" x14ac:dyDescent="0.25">
      <c r="B41" s="75" t="s">
        <v>115</v>
      </c>
      <c r="C41" s="23" t="s">
        <v>84</v>
      </c>
      <c r="D41" s="42" t="s">
        <v>2</v>
      </c>
      <c r="E41" s="84">
        <f>E40*E13</f>
        <v>0.22064772824897164</v>
      </c>
      <c r="F41" s="84">
        <f>E13-E41</f>
        <v>7.9352271751028353E-2</v>
      </c>
      <c r="G41" s="140"/>
      <c r="H41" s="9"/>
      <c r="I41" s="9"/>
    </row>
    <row r="42" spans="1:9" hidden="1" x14ac:dyDescent="0.25">
      <c r="B42" s="86" t="s">
        <v>117</v>
      </c>
      <c r="C42" s="87" t="s">
        <v>77</v>
      </c>
      <c r="D42" s="88" t="s">
        <v>10</v>
      </c>
      <c r="E42" s="100">
        <f>E26*(E25*E23-E24)/(E40^3+E23)</f>
        <v>573.99570941965521</v>
      </c>
      <c r="F42" s="100">
        <f>F26*(F25*F23-F24)/(F40^3+F23)</f>
        <v>573.99570941965897</v>
      </c>
      <c r="G42" s="104"/>
      <c r="H42" s="9"/>
      <c r="I42" s="9"/>
    </row>
    <row r="43" spans="1:9" x14ac:dyDescent="0.25">
      <c r="B43" s="77" t="s">
        <v>116</v>
      </c>
      <c r="C43" s="25" t="s">
        <v>53</v>
      </c>
      <c r="D43" s="45" t="s">
        <v>30</v>
      </c>
      <c r="E43" s="46">
        <f>E18*(E11/E6*LN(E7/E8)*(1+3/2*E15^2))/(E41^3/(E14/2)^3+E11/E6*LN(E7/E8)*(1+3/2*E15^2))</f>
        <v>0.22318208427962866</v>
      </c>
      <c r="F43" s="46">
        <f>F18*(F11/F6*LN(F7/F8)*(1+3/2*F15^2))/(F41^3/(F14/2)^3+F11/F6*LN(F7/F8)*(1+3/2*F15^2))</f>
        <v>0.88408121134410345</v>
      </c>
      <c r="G43" s="103"/>
      <c r="H43" s="9"/>
      <c r="I43" s="9"/>
    </row>
    <row r="44" spans="1:9" x14ac:dyDescent="0.25">
      <c r="B44" s="76"/>
      <c r="C44" s="24"/>
      <c r="D44" s="43"/>
      <c r="E44" s="44"/>
      <c r="F44" s="44"/>
      <c r="G44" s="65"/>
      <c r="H44" s="9"/>
      <c r="I44" s="9"/>
    </row>
    <row r="45" spans="1:9" hidden="1" x14ac:dyDescent="0.25">
      <c r="B45" s="76"/>
      <c r="C45" s="24"/>
      <c r="D45" s="43"/>
      <c r="E45" s="101">
        <f>PI()/6/E19*E41^3*E43/LN(E7/E8)</f>
        <v>3839.3474174390249</v>
      </c>
      <c r="F45" s="101">
        <f>PI()/6/F19*F41^3*F43/LN(F7/F8)</f>
        <v>3232.6350573033919</v>
      </c>
      <c r="G45" s="65"/>
      <c r="H45" s="9"/>
      <c r="I45" s="9"/>
    </row>
    <row r="46" spans="1:9" x14ac:dyDescent="0.25">
      <c r="B46" s="78" t="s">
        <v>118</v>
      </c>
      <c r="C46" s="26" t="s">
        <v>65</v>
      </c>
      <c r="D46" s="47" t="s">
        <v>35</v>
      </c>
      <c r="E46" s="48">
        <f>E18*(1-(E11/E6*LN(E7/E8)*(1+3/2*E15^2))/(E41^3/(E14/2)^3+E11/E6*LN(E7/E8)*(1+3/2*E15^2)))*PI()/(6*E19)*E11/E6*(E14/2)^3*(1+3/2*E15^2)</f>
        <v>3839.3474174390249</v>
      </c>
      <c r="F46" s="48">
        <f>F18*(1-(F11/F6*LN(F7/F8)*(1+3/2*F15^2))/(F41^3/(F14/2)^3+F11/F6*LN(F7/F8)*(1+3/2*F15^2)))*PI()/(6*F19)*F11/F6*(F14/2)^3*(1+3/2*F15^2)</f>
        <v>3232.6350573033919</v>
      </c>
      <c r="G46" s="66"/>
      <c r="H46" s="9"/>
      <c r="I46" s="9"/>
    </row>
    <row r="47" spans="1:9" x14ac:dyDescent="0.25">
      <c r="B47" s="78"/>
      <c r="C47" s="26"/>
      <c r="D47" s="47" t="s">
        <v>36</v>
      </c>
      <c r="E47" s="49">
        <f>E46*10^(-6)*60</f>
        <v>0.23036084504634147</v>
      </c>
      <c r="F47" s="49">
        <f>F46*10^(-6)*60</f>
        <v>0.19395810343820352</v>
      </c>
      <c r="G47" s="66"/>
      <c r="H47" s="9"/>
      <c r="I47" s="9"/>
    </row>
    <row r="48" spans="1:9" x14ac:dyDescent="0.25">
      <c r="B48" s="78" t="s">
        <v>119</v>
      </c>
      <c r="C48" s="26" t="s">
        <v>65</v>
      </c>
      <c r="D48" s="47" t="s">
        <v>35</v>
      </c>
      <c r="E48" s="50">
        <f>(E18-F18)*PI()/(6*E19)*E11/E10*(E14/2)^3*(1+3/2*E15^2)</f>
        <v>1308.9969389957473</v>
      </c>
      <c r="F48" s="50">
        <f>(F18-E18)*PI()/(6*F19)*F11/F10*(F14/2)^3*(1+3/2*F15^2)</f>
        <v>-1308.9969389957473</v>
      </c>
      <c r="G48" s="66"/>
      <c r="H48" s="9"/>
      <c r="I48" s="9"/>
    </row>
    <row r="49" spans="2:9" x14ac:dyDescent="0.25">
      <c r="B49" s="78"/>
      <c r="C49" s="26"/>
      <c r="D49" s="47" t="s">
        <v>37</v>
      </c>
      <c r="E49" s="48">
        <f>E48*10^(-6)*60</f>
        <v>7.8539816339744828E-2</v>
      </c>
      <c r="F49" s="48">
        <f>F48*10^(-6)*60</f>
        <v>-7.8539816339744828E-2</v>
      </c>
      <c r="G49" s="66"/>
      <c r="H49" s="9"/>
      <c r="I49" s="9"/>
    </row>
    <row r="50" spans="2:9" x14ac:dyDescent="0.25">
      <c r="B50" s="78" t="s">
        <v>120</v>
      </c>
      <c r="C50" s="26" t="s">
        <v>65</v>
      </c>
      <c r="D50" s="47" t="s">
        <v>35</v>
      </c>
      <c r="E50" s="51">
        <f>E46+E48</f>
        <v>5148.3443564347726</v>
      </c>
      <c r="F50" s="51">
        <f>F46+F48</f>
        <v>1923.6381183076446</v>
      </c>
      <c r="G50" s="67"/>
      <c r="H50" s="9"/>
      <c r="I50" s="9"/>
    </row>
    <row r="51" spans="2:9" x14ac:dyDescent="0.25">
      <c r="B51" s="78"/>
      <c r="C51" s="26"/>
      <c r="D51" s="47"/>
      <c r="E51" s="80">
        <f>E50/10^6*60</f>
        <v>0.30890066138608635</v>
      </c>
      <c r="F51" s="80">
        <f>F50/10^6*60</f>
        <v>0.11541828709845868</v>
      </c>
      <c r="G51" s="67"/>
      <c r="H51" s="9"/>
      <c r="I51" s="9"/>
    </row>
    <row r="52" spans="2:9" x14ac:dyDescent="0.25">
      <c r="B52" s="78" t="s">
        <v>121</v>
      </c>
      <c r="C52" s="26" t="s">
        <v>65</v>
      </c>
      <c r="D52" s="47" t="s">
        <v>35</v>
      </c>
      <c r="E52" s="204">
        <f>E46+F46</f>
        <v>7071.9824747424173</v>
      </c>
      <c r="F52" s="205"/>
      <c r="G52" s="67"/>
      <c r="H52" s="9"/>
      <c r="I52" s="9"/>
    </row>
    <row r="53" spans="2:9" x14ac:dyDescent="0.25">
      <c r="B53" s="78"/>
      <c r="C53" s="26"/>
      <c r="D53" s="47" t="s">
        <v>36</v>
      </c>
      <c r="E53" s="209">
        <f>E52/10^6*60</f>
        <v>0.42431894848454504</v>
      </c>
      <c r="F53" s="210"/>
      <c r="G53" s="67"/>
      <c r="H53" s="9"/>
      <c r="I53" s="9"/>
    </row>
    <row r="54" spans="2:9" x14ac:dyDescent="0.25">
      <c r="B54" s="78"/>
      <c r="C54" s="26"/>
      <c r="D54" s="47"/>
      <c r="E54" s="99"/>
      <c r="F54" s="81"/>
      <c r="G54" s="67"/>
      <c r="H54" s="9"/>
      <c r="I54" s="9"/>
    </row>
    <row r="55" spans="2:9" x14ac:dyDescent="0.25">
      <c r="B55" s="78" t="s">
        <v>146</v>
      </c>
      <c r="C55" s="26" t="s">
        <v>66</v>
      </c>
      <c r="D55" s="47" t="s">
        <v>40</v>
      </c>
      <c r="E55" s="16">
        <f>E18*E46</f>
        <v>38393.474174390249</v>
      </c>
      <c r="F55" s="17">
        <f>F18*F46</f>
        <v>16163.17528651696</v>
      </c>
      <c r="G55" s="67"/>
      <c r="H55" s="9"/>
      <c r="I55" s="9"/>
    </row>
    <row r="56" spans="2:9" x14ac:dyDescent="0.25">
      <c r="B56" s="78" t="s">
        <v>145</v>
      </c>
      <c r="C56" s="26"/>
      <c r="D56" s="47" t="s">
        <v>54</v>
      </c>
      <c r="E56" s="52">
        <f>E55/10^6</f>
        <v>3.8393474174390249E-2</v>
      </c>
      <c r="F56" s="52">
        <f>F55/10^6</f>
        <v>1.6163175286516961E-2</v>
      </c>
      <c r="G56" s="67"/>
      <c r="H56" s="9"/>
      <c r="I56" s="9"/>
    </row>
    <row r="57" spans="2:9" x14ac:dyDescent="0.25">
      <c r="B57" s="76" t="s">
        <v>122</v>
      </c>
      <c r="C57" s="24"/>
      <c r="D57" s="53" t="s">
        <v>12</v>
      </c>
      <c r="E57" s="206"/>
      <c r="F57" s="207"/>
      <c r="G57" s="69" t="s">
        <v>128</v>
      </c>
      <c r="H57" s="9"/>
      <c r="I57" s="9"/>
    </row>
    <row r="58" spans="2:9" x14ac:dyDescent="0.25">
      <c r="B58" s="79" t="s">
        <v>123</v>
      </c>
      <c r="C58" s="27" t="s">
        <v>66</v>
      </c>
      <c r="D58" s="53" t="s">
        <v>55</v>
      </c>
      <c r="E58" s="54">
        <f>E46*(E18-E43)+4*PI()*E19*E20^2*E11^3*E6/E14+6/PI()*E19*E46^2*LN(E7/E8)/E41^3+PI()*E20^2*E19*(E7^4-E8^4)/(2*E41)</f>
        <v>72586.352711050116</v>
      </c>
      <c r="F58" s="54">
        <f>F46*(F18-F43)+1*(4*PI()*F19*F20^2*F11^3*F6/F14+6/PI()*F19*F46^2*LN(F7/F8)/F41^3+PI()*F20^2*F19*(F7^4-F8^4)/(2*F41))</f>
        <v>27125.148904920439</v>
      </c>
      <c r="G58" s="68"/>
      <c r="H58" s="9"/>
      <c r="I58" s="9"/>
    </row>
    <row r="59" spans="2:9" x14ac:dyDescent="0.25">
      <c r="B59" s="79" t="s">
        <v>43</v>
      </c>
      <c r="C59" s="27"/>
      <c r="D59" s="53" t="s">
        <v>56</v>
      </c>
      <c r="E59" s="85">
        <f>E58/10^6</f>
        <v>7.2586352711050114E-2</v>
      </c>
      <c r="F59" s="85">
        <f>F58/10^6</f>
        <v>2.7125148904920439E-2</v>
      </c>
      <c r="G59" s="60"/>
      <c r="H59" s="9"/>
      <c r="I59" s="9"/>
    </row>
    <row r="60" spans="2:9" x14ac:dyDescent="0.25">
      <c r="B60" s="176" t="s">
        <v>124</v>
      </c>
      <c r="C60" s="27" t="s">
        <v>66</v>
      </c>
      <c r="D60" s="53" t="s">
        <v>55</v>
      </c>
      <c r="E60" s="208">
        <f>ABS(E48)*ABS(E18-F18)+4*PI()*E19*E20^2*E11^3*E10/E14</f>
        <v>29996.848190320401</v>
      </c>
      <c r="F60" s="207"/>
      <c r="G60" s="60"/>
      <c r="H60" s="9"/>
      <c r="I60" s="9"/>
    </row>
    <row r="61" spans="2:9" x14ac:dyDescent="0.25">
      <c r="B61" s="176" t="s">
        <v>125</v>
      </c>
      <c r="C61" s="27"/>
      <c r="D61" s="53" t="s">
        <v>56</v>
      </c>
      <c r="E61" s="211">
        <f>E60/10^6</f>
        <v>2.9996848190320401E-2</v>
      </c>
      <c r="F61" s="212"/>
      <c r="G61" s="60"/>
      <c r="H61" s="9"/>
      <c r="I61" s="9"/>
    </row>
    <row r="62" spans="2:9" x14ac:dyDescent="0.25">
      <c r="B62" s="177" t="s">
        <v>135</v>
      </c>
      <c r="C62" s="27" t="s">
        <v>66</v>
      </c>
      <c r="D62" s="53" t="s">
        <v>55</v>
      </c>
      <c r="E62" s="213">
        <f>E58+F58+E60</f>
        <v>129708.34980629096</v>
      </c>
      <c r="F62" s="214"/>
      <c r="G62" s="61"/>
      <c r="H62" s="9"/>
      <c r="I62" s="9"/>
    </row>
    <row r="63" spans="2:9" x14ac:dyDescent="0.25">
      <c r="B63" s="177" t="s">
        <v>126</v>
      </c>
      <c r="C63" s="27"/>
      <c r="D63" s="53" t="s">
        <v>90</v>
      </c>
      <c r="E63" s="197">
        <f>($E$58+$F$58+$E$60)/1000/1000</f>
        <v>0.12970834980629095</v>
      </c>
      <c r="F63" s="198"/>
      <c r="G63" s="61"/>
      <c r="H63" s="9"/>
      <c r="I63" s="9"/>
    </row>
    <row r="64" spans="2:9" ht="15.75" thickBot="1" x14ac:dyDescent="0.3">
      <c r="B64" s="89"/>
      <c r="C64" s="28"/>
      <c r="D64" s="55"/>
      <c r="E64" s="200"/>
      <c r="F64" s="201"/>
      <c r="G64" s="62"/>
      <c r="H64" s="9"/>
      <c r="I64" s="9"/>
    </row>
    <row r="65" spans="2:9" s="175" customFormat="1" ht="9" thickTop="1" x14ac:dyDescent="0.15">
      <c r="B65" s="174"/>
      <c r="C65" s="174"/>
      <c r="D65" s="174"/>
      <c r="E65" s="174"/>
      <c r="F65" s="174"/>
      <c r="G65" s="174"/>
      <c r="H65" s="174"/>
      <c r="I65" s="174"/>
    </row>
    <row r="66" spans="2:9" ht="16.5" x14ac:dyDescent="0.3">
      <c r="B66" s="93" t="s">
        <v>127</v>
      </c>
      <c r="C66" s="160" t="s">
        <v>140</v>
      </c>
      <c r="D66" s="160" t="s">
        <v>138</v>
      </c>
      <c r="E66" s="160" t="s">
        <v>141</v>
      </c>
      <c r="F66" s="169" t="s">
        <v>139</v>
      </c>
      <c r="G66" s="170" t="s">
        <v>144</v>
      </c>
    </row>
    <row r="67" spans="2:9" ht="16.5" x14ac:dyDescent="0.3">
      <c r="B67" s="93"/>
      <c r="C67" s="161">
        <f>$E$8+($E$7-$E$8)*0</f>
        <v>26</v>
      </c>
      <c r="D67" s="162">
        <f>$E$43-6*$E$19*$E$46/(PI()*$E$41^3)*LN(C67/$E$8)</f>
        <v>0.22318208427962866</v>
      </c>
      <c r="E67" s="161">
        <f>$F$8+($F$7-$F$8)*0</f>
        <v>26</v>
      </c>
      <c r="F67" s="162">
        <f>$F$43-6*$F$19*$F$46/(PI()*$F$41^3)*LN(E67/$F$8)</f>
        <v>0.88408121134410345</v>
      </c>
    </row>
    <row r="68" spans="2:9" ht="16.5" x14ac:dyDescent="0.3">
      <c r="B68" s="93"/>
      <c r="C68" s="161">
        <f t="shared" ref="C68" si="0">$E$8+($E$7-$E$8)*0.25</f>
        <v>32</v>
      </c>
      <c r="D68" s="162">
        <f t="shared" ref="D68:D71" si="1">$E$43-6*$E$19*$E$46/(PI()*$E$41^3)*LN(C68/$E$8)</f>
        <v>0.15231572770977303</v>
      </c>
      <c r="E68" s="161">
        <f>$F$8+($F$7-$F$8)*0.25</f>
        <v>27</v>
      </c>
      <c r="F68" s="162">
        <f>$F$43-6*$F$19*$F$46/(PI()*$F$41^3)*LN(E68/$F$8)</f>
        <v>0.65092035756618882</v>
      </c>
    </row>
    <row r="69" spans="2:9" ht="16.5" x14ac:dyDescent="0.3">
      <c r="B69" s="93"/>
      <c r="C69" s="161">
        <f>$E$8+($E$7-$E$8)*0.5</f>
        <v>38</v>
      </c>
      <c r="D69" s="162">
        <f t="shared" si="1"/>
        <v>9.3664028418589673E-2</v>
      </c>
      <c r="E69" s="161">
        <f>$F$8+($F$7-$F$8)*0.5</f>
        <v>28</v>
      </c>
      <c r="F69" s="162">
        <f>$F$43-6*$F$19*$F$46/(PI()*$F$41^3)*LN(E69/$F$8)</f>
        <v>0.4262399846604083</v>
      </c>
    </row>
    <row r="70" spans="2:9" ht="16.5" x14ac:dyDescent="0.3">
      <c r="B70" s="93"/>
      <c r="C70" s="161">
        <f>$E$8+($E$7-$E$8)*0.75</f>
        <v>44</v>
      </c>
      <c r="D70" s="162">
        <f t="shared" si="1"/>
        <v>4.3628939515497428E-2</v>
      </c>
      <c r="E70" s="161">
        <f>$F$8+($F$7-$F$8)*0.75</f>
        <v>29</v>
      </c>
      <c r="F70" s="162">
        <f>$F$43-6*$F$19*$F$46/(PI()*$F$41^3)*LN(E70/$F$8)</f>
        <v>0.20944478110233988</v>
      </c>
    </row>
    <row r="71" spans="2:9" ht="16.5" x14ac:dyDescent="0.3">
      <c r="B71" s="93"/>
      <c r="C71" s="161">
        <f>$E$8+($E$7-$E$8)*1</f>
        <v>50</v>
      </c>
      <c r="D71" s="162">
        <f t="shared" si="1"/>
        <v>0</v>
      </c>
      <c r="E71" s="161">
        <f>$F$8+($F$7-$F$8)*1</f>
        <v>30</v>
      </c>
      <c r="F71" s="162">
        <f>$F$43-6*$F$19*$F$46/(PI()*$F$41^3)*LN(E71/$F$8)</f>
        <v>0</v>
      </c>
    </row>
    <row r="72" spans="2:9" x14ac:dyDescent="0.25">
      <c r="C72" s="215" t="s">
        <v>86</v>
      </c>
      <c r="D72" s="216"/>
      <c r="E72" s="216"/>
      <c r="F72" s="217"/>
    </row>
    <row r="73" spans="2:9" x14ac:dyDescent="0.25">
      <c r="C73" s="218"/>
      <c r="D73" s="219"/>
      <c r="E73" s="219"/>
      <c r="F73" s="220"/>
    </row>
  </sheetData>
  <sheetProtection sheet="1" objects="1" scenarios="1"/>
  <mergeCells count="12">
    <mergeCell ref="C72:F73"/>
    <mergeCell ref="B1:G1"/>
    <mergeCell ref="B2:G2"/>
    <mergeCell ref="E4:F4"/>
    <mergeCell ref="E52:F52"/>
    <mergeCell ref="E53:F53"/>
    <mergeCell ref="E57:F57"/>
    <mergeCell ref="E60:F60"/>
    <mergeCell ref="E61:F61"/>
    <mergeCell ref="E62:F62"/>
    <mergeCell ref="E63:F63"/>
    <mergeCell ref="E64:F64"/>
  </mergeCells>
  <conditionalFormatting sqref="F40">
    <cfRule type="cellIs" dxfId="1" priority="1" operator="lessThan">
      <formula>0</formula>
    </cfRule>
  </conditionalFormatting>
  <conditionalFormatting sqref="E40">
    <cfRule type="cellIs" dxfId="0" priority="2" operator="lessThan">
      <formula>0</formula>
    </cfRule>
  </conditionalFormatting>
  <printOptions horizontalCentered="1" verticalCentered="1"/>
  <pageMargins left="0.78740157480314965" right="0.51181102362204722" top="0.39370078740157483" bottom="0.59055118110236227" header="0.31496062992125984" footer="0.39370078740157483"/>
  <pageSetup paperSize="9" scale="57" orientation="portrait" r:id="rId1"/>
  <headerFooter>
    <oddHeader>&amp;R&amp;"Arial,Fett"&amp;KC00000B</oddHeader>
    <oddFooter>&amp;L&amp;F
www.jbladt.de&amp;CKlaus-Jürgen Bladt
Rostock, Germany&amp;REdition: 23.03.2016
Print: 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R63"/>
  <sheetViews>
    <sheetView topLeftCell="A13" zoomScale="90" zoomScaleNormal="90" workbookViewId="0">
      <selection activeCell="S58" sqref="S58"/>
    </sheetView>
  </sheetViews>
  <sheetFormatPr baseColWidth="10" defaultRowHeight="15" x14ac:dyDescent="0.25"/>
  <cols>
    <col min="5" max="5" width="12" customWidth="1"/>
  </cols>
  <sheetData>
    <row r="2" spans="1:18" hidden="1" x14ac:dyDescent="0.25"/>
    <row r="5" spans="1:18" s="3" customFormat="1" x14ac:dyDescent="0.2">
      <c r="A5" s="5"/>
      <c r="B5" s="5"/>
      <c r="C5" s="5"/>
      <c r="D5" s="5"/>
      <c r="E5" s="5"/>
      <c r="F5" s="5"/>
      <c r="M5" s="1"/>
      <c r="N5" s="1"/>
    </row>
    <row r="6" spans="1:18" s="3" customFormat="1" x14ac:dyDescent="0.2">
      <c r="A6" s="8"/>
      <c r="B6" s="8"/>
      <c r="C6" s="8"/>
      <c r="D6" s="8"/>
      <c r="E6" s="8"/>
      <c r="F6" s="8"/>
      <c r="G6" s="2"/>
      <c r="H6" s="4"/>
      <c r="I6" s="1" t="s">
        <v>12</v>
      </c>
      <c r="J6" s="1" t="s">
        <v>12</v>
      </c>
      <c r="K6" s="1" t="s">
        <v>12</v>
      </c>
      <c r="L6" s="1" t="s">
        <v>12</v>
      </c>
      <c r="M6" s="2"/>
      <c r="N6" s="6"/>
      <c r="O6" s="6"/>
      <c r="P6" s="6"/>
      <c r="Q6" s="1"/>
      <c r="R6" s="1"/>
    </row>
    <row r="7" spans="1:18" s="3" customFormat="1" x14ac:dyDescent="0.2">
      <c r="A7" s="7"/>
      <c r="B7" s="7"/>
      <c r="C7" s="7"/>
      <c r="D7" s="7"/>
      <c r="E7" s="7"/>
      <c r="F7" s="7"/>
    </row>
    <row r="8" spans="1:18" s="3" customFormat="1" x14ac:dyDescent="0.2">
      <c r="A8" s="7"/>
      <c r="B8" s="7"/>
      <c r="C8" s="7"/>
      <c r="D8" s="7"/>
      <c r="E8" s="7"/>
      <c r="F8" s="7"/>
    </row>
    <row r="9" spans="1:18" s="3" customFormat="1" x14ac:dyDescent="0.2">
      <c r="A9" s="7"/>
      <c r="B9" s="7"/>
      <c r="C9" s="7"/>
      <c r="D9" s="7"/>
      <c r="E9" s="7"/>
      <c r="F9" s="7"/>
    </row>
    <row r="10" spans="1:18" s="3" customFormat="1" x14ac:dyDescent="0.2">
      <c r="A10" s="7"/>
      <c r="B10" s="7"/>
      <c r="C10" s="7"/>
      <c r="D10" s="7"/>
      <c r="E10" s="7"/>
      <c r="F10" s="7"/>
    </row>
    <row r="11" spans="1:18" s="3" customFormat="1" x14ac:dyDescent="0.2">
      <c r="A11" s="7"/>
      <c r="B11" s="7"/>
      <c r="C11" s="7"/>
      <c r="D11" s="7"/>
      <c r="E11" s="7"/>
      <c r="F11" s="7"/>
    </row>
    <row r="12" spans="1:18" s="3" customFormat="1" x14ac:dyDescent="0.2">
      <c r="A12" s="7"/>
      <c r="B12" s="7"/>
      <c r="C12" s="7"/>
      <c r="D12" s="7"/>
      <c r="E12" s="7"/>
      <c r="F12" s="7"/>
    </row>
    <row r="13" spans="1:18" s="3" customFormat="1" x14ac:dyDescent="0.2">
      <c r="A13" s="7"/>
      <c r="B13" s="7"/>
      <c r="C13" s="7"/>
      <c r="D13" s="7"/>
      <c r="E13" s="7"/>
      <c r="F13" s="7"/>
    </row>
    <row r="14" spans="1:18" s="3" customFormat="1" x14ac:dyDescent="0.2">
      <c r="A14" s="7"/>
      <c r="B14" s="7"/>
      <c r="C14" s="7"/>
      <c r="D14" s="7"/>
      <c r="E14" s="7"/>
      <c r="F14" s="7"/>
    </row>
    <row r="15" spans="1:18" s="3" customFormat="1" x14ac:dyDescent="0.2">
      <c r="A15" s="7"/>
      <c r="B15" s="7"/>
      <c r="C15" s="7"/>
      <c r="D15" s="7"/>
      <c r="E15" s="7"/>
      <c r="F15" s="7"/>
    </row>
    <row r="16" spans="1:18" s="3" customFormat="1" x14ac:dyDescent="0.2">
      <c r="A16" s="15"/>
      <c r="B16" s="15"/>
      <c r="C16" s="15"/>
      <c r="D16" s="15"/>
      <c r="E16" s="7"/>
      <c r="F16" s="7"/>
    </row>
    <row r="17" spans="1:6" s="3" customFormat="1" x14ac:dyDescent="0.2">
      <c r="A17" s="15"/>
      <c r="B17" s="15"/>
      <c r="C17" s="15"/>
      <c r="D17" s="15"/>
      <c r="E17" s="7"/>
      <c r="F17" s="7"/>
    </row>
    <row r="18" spans="1:6" s="3" customFormat="1" x14ac:dyDescent="0.2">
      <c r="A18" s="15"/>
      <c r="B18" s="15"/>
      <c r="C18" s="15"/>
      <c r="D18" s="15"/>
      <c r="E18" s="7"/>
      <c r="F18" s="7"/>
    </row>
    <row r="19" spans="1:6" s="3" customFormat="1" x14ac:dyDescent="0.2">
      <c r="A19" s="15"/>
      <c r="B19" s="15"/>
      <c r="C19" s="15"/>
      <c r="D19" s="15"/>
      <c r="E19" s="7"/>
      <c r="F19" s="7"/>
    </row>
    <row r="20" spans="1:6" s="3" customFormat="1" x14ac:dyDescent="0.2">
      <c r="A20" s="15"/>
      <c r="B20" s="15"/>
      <c r="C20" s="15"/>
      <c r="D20" s="15"/>
      <c r="E20" s="7"/>
      <c r="F20" s="7"/>
    </row>
    <row r="21" spans="1:6" s="3" customFormat="1" x14ac:dyDescent="0.2">
      <c r="A21" s="7"/>
      <c r="B21" s="7"/>
      <c r="C21" s="7"/>
      <c r="D21" s="7"/>
      <c r="E21" s="7"/>
      <c r="F21" s="7"/>
    </row>
    <row r="22" spans="1:6" s="3" customFormat="1" x14ac:dyDescent="0.2">
      <c r="A22" s="7"/>
      <c r="B22" s="7"/>
      <c r="C22" s="7"/>
      <c r="D22" s="7"/>
      <c r="E22" s="7"/>
      <c r="F22" s="7"/>
    </row>
    <row r="23" spans="1:6" s="3" customFormat="1" x14ac:dyDescent="0.2">
      <c r="A23" s="7"/>
      <c r="B23" s="7"/>
      <c r="C23" s="7"/>
      <c r="D23" s="7"/>
      <c r="E23" s="7"/>
      <c r="F23" s="7"/>
    </row>
    <row r="24" spans="1:6" s="3" customFormat="1" x14ac:dyDescent="0.2">
      <c r="A24" s="7"/>
      <c r="B24" s="7"/>
      <c r="C24" s="7"/>
      <c r="D24" s="7"/>
      <c r="E24" s="7"/>
      <c r="F24" s="7"/>
    </row>
    <row r="25" spans="1:6" s="3" customFormat="1" x14ac:dyDescent="0.2">
      <c r="A25" s="7"/>
      <c r="B25" s="7"/>
      <c r="C25" s="7"/>
      <c r="D25" s="7"/>
      <c r="E25" s="7"/>
      <c r="F25" s="7"/>
    </row>
    <row r="26" spans="1:6" s="3" customFormat="1" x14ac:dyDescent="0.2">
      <c r="A26" s="7"/>
      <c r="B26" s="7"/>
      <c r="C26" s="7"/>
      <c r="D26" s="7"/>
      <c r="E26" s="7"/>
      <c r="F26" s="7"/>
    </row>
    <row r="27" spans="1:6" s="3" customFormat="1" x14ac:dyDescent="0.2">
      <c r="A27" s="7"/>
      <c r="B27" s="7"/>
      <c r="C27" s="7"/>
      <c r="D27" s="7"/>
      <c r="E27" s="7"/>
      <c r="F27" s="7"/>
    </row>
    <row r="28" spans="1:6" s="3" customFormat="1" x14ac:dyDescent="0.2">
      <c r="A28" s="7"/>
      <c r="B28" s="7"/>
      <c r="C28" s="7"/>
      <c r="D28" s="7"/>
      <c r="E28" s="7"/>
      <c r="F28" s="7"/>
    </row>
    <row r="29" spans="1:6" s="3" customFormat="1" x14ac:dyDescent="0.2">
      <c r="A29" s="7"/>
      <c r="B29" s="7"/>
      <c r="C29" s="7"/>
      <c r="D29" s="7"/>
      <c r="E29" s="7"/>
      <c r="F29" s="7"/>
    </row>
    <row r="30" spans="1:6" s="3" customFormat="1" x14ac:dyDescent="0.2">
      <c r="A30" s="7"/>
      <c r="B30" s="7"/>
      <c r="C30" s="7"/>
      <c r="D30" s="7"/>
      <c r="E30" s="7"/>
      <c r="F30" s="7"/>
    </row>
    <row r="31" spans="1:6" s="3" customFormat="1" ht="15.75" x14ac:dyDescent="0.25">
      <c r="A31" s="7"/>
      <c r="B31"/>
      <c r="C31" s="7"/>
      <c r="D31" s="7"/>
      <c r="E31" s="7"/>
      <c r="F31" s="7"/>
    </row>
    <row r="32" spans="1:6" s="3" customFormat="1" x14ac:dyDescent="0.2">
      <c r="A32" s="7"/>
      <c r="B32" s="7"/>
      <c r="C32" s="7"/>
      <c r="D32" s="7"/>
      <c r="E32" s="7"/>
      <c r="F32" s="7"/>
    </row>
    <row r="33" spans="1:6" s="3" customFormat="1" x14ac:dyDescent="0.2">
      <c r="A33" s="7"/>
      <c r="B33" s="7"/>
      <c r="C33" s="7"/>
      <c r="D33" s="7"/>
      <c r="E33" s="7"/>
      <c r="F33" s="7"/>
    </row>
    <row r="34" spans="1:6" s="3" customFormat="1" x14ac:dyDescent="0.2">
      <c r="A34" s="7"/>
      <c r="B34" s="7"/>
      <c r="C34" s="7"/>
      <c r="D34" s="7"/>
      <c r="E34" s="7"/>
      <c r="F34" s="7"/>
    </row>
    <row r="35" spans="1:6" s="3" customFormat="1" x14ac:dyDescent="0.2">
      <c r="A35" s="7"/>
      <c r="B35" s="7"/>
      <c r="C35" s="7"/>
      <c r="D35" s="7"/>
      <c r="E35" s="7"/>
      <c r="F35" s="7"/>
    </row>
    <row r="36" spans="1:6" s="3" customFormat="1" x14ac:dyDescent="0.2">
      <c r="A36" s="7"/>
      <c r="B36" s="7"/>
      <c r="C36" s="7"/>
      <c r="D36" s="7"/>
      <c r="E36" s="7"/>
      <c r="F36" s="7"/>
    </row>
    <row r="37" spans="1:6" s="3" customFormat="1" x14ac:dyDescent="0.2">
      <c r="A37" s="7"/>
      <c r="B37" s="7"/>
      <c r="C37" s="7"/>
      <c r="D37" s="7"/>
      <c r="E37" s="7"/>
      <c r="F37" s="7"/>
    </row>
    <row r="38" spans="1:6" x14ac:dyDescent="0.25">
      <c r="A38" s="9"/>
      <c r="B38" s="9"/>
      <c r="C38" s="9"/>
      <c r="D38" s="9"/>
      <c r="E38" s="9"/>
      <c r="F38" s="9"/>
    </row>
    <row r="39" spans="1:6" x14ac:dyDescent="0.25">
      <c r="A39" s="9"/>
      <c r="B39" s="9"/>
      <c r="C39" s="9"/>
      <c r="D39" s="9"/>
      <c r="E39" s="9"/>
      <c r="F39" s="9"/>
    </row>
    <row r="40" spans="1:6" x14ac:dyDescent="0.25">
      <c r="A40" s="9"/>
      <c r="B40" s="9"/>
      <c r="C40" s="9"/>
      <c r="D40" s="9"/>
      <c r="E40" s="9"/>
      <c r="F40" s="9"/>
    </row>
    <row r="41" spans="1:6" x14ac:dyDescent="0.25">
      <c r="A41" s="9"/>
      <c r="B41" s="9"/>
      <c r="C41" s="9"/>
      <c r="D41" s="9"/>
      <c r="E41" s="9"/>
      <c r="F41" s="9"/>
    </row>
    <row r="42" spans="1:6" x14ac:dyDescent="0.25">
      <c r="A42" s="9"/>
      <c r="B42" s="9"/>
      <c r="C42" s="9"/>
      <c r="D42" s="9"/>
      <c r="E42" s="9"/>
      <c r="F42" s="9"/>
    </row>
    <row r="43" spans="1:6" x14ac:dyDescent="0.25">
      <c r="A43" s="9" t="s">
        <v>87</v>
      </c>
      <c r="B43" s="9"/>
      <c r="C43" s="9"/>
      <c r="D43" s="9"/>
      <c r="E43" s="9"/>
      <c r="F43" s="9"/>
    </row>
    <row r="44" spans="1:6" x14ac:dyDescent="0.25">
      <c r="A44" s="9"/>
      <c r="B44" s="9"/>
      <c r="C44" s="9"/>
      <c r="D44" s="9"/>
      <c r="E44" s="9"/>
      <c r="F44" s="9"/>
    </row>
    <row r="45" spans="1:6" x14ac:dyDescent="0.25">
      <c r="A45" s="9"/>
      <c r="B45" s="9"/>
      <c r="C45" s="9"/>
      <c r="D45" s="9"/>
      <c r="E45" s="9"/>
      <c r="F45" s="9"/>
    </row>
    <row r="46" spans="1:6" x14ac:dyDescent="0.25">
      <c r="A46" s="9"/>
      <c r="B46" s="9"/>
      <c r="C46" s="9"/>
      <c r="D46" s="9"/>
      <c r="E46" s="9"/>
      <c r="F46" s="9"/>
    </row>
    <row r="47" spans="1:6" x14ac:dyDescent="0.25">
      <c r="A47" s="9"/>
      <c r="B47" s="9"/>
      <c r="C47" s="9"/>
      <c r="D47" s="9"/>
      <c r="E47" s="9"/>
      <c r="F47" s="9"/>
    </row>
    <row r="48" spans="1:6" x14ac:dyDescent="0.25">
      <c r="A48" s="9"/>
      <c r="B48" s="9"/>
      <c r="C48" s="9"/>
      <c r="D48" s="9"/>
      <c r="E48" s="9"/>
      <c r="F48" s="9"/>
    </row>
    <row r="49" spans="1:6" x14ac:dyDescent="0.25">
      <c r="A49" s="9"/>
      <c r="B49" s="9"/>
      <c r="C49" s="9"/>
      <c r="D49" s="9"/>
      <c r="E49" s="9"/>
      <c r="F49" s="9"/>
    </row>
    <row r="50" spans="1:6" x14ac:dyDescent="0.25">
      <c r="A50" s="9"/>
      <c r="B50" s="9"/>
      <c r="C50" s="9"/>
      <c r="D50" s="9"/>
      <c r="E50" s="9"/>
      <c r="F50" s="9"/>
    </row>
    <row r="51" spans="1:6" x14ac:dyDescent="0.25">
      <c r="A51" s="9"/>
      <c r="B51" s="9"/>
      <c r="C51" s="9"/>
      <c r="D51" s="9"/>
      <c r="E51" s="9"/>
      <c r="F51" s="9"/>
    </row>
    <row r="52" spans="1:6" x14ac:dyDescent="0.25">
      <c r="A52" s="9"/>
      <c r="B52" s="9"/>
      <c r="C52" s="9"/>
      <c r="D52" s="9"/>
      <c r="E52" s="9"/>
      <c r="F52" s="9"/>
    </row>
    <row r="53" spans="1:6" x14ac:dyDescent="0.25">
      <c r="A53" s="9"/>
      <c r="B53" s="9"/>
      <c r="C53" s="9"/>
      <c r="D53" s="9"/>
      <c r="E53" s="9"/>
      <c r="F53" s="9"/>
    </row>
    <row r="54" spans="1:6" x14ac:dyDescent="0.25">
      <c r="A54" s="9"/>
      <c r="B54" s="9"/>
      <c r="C54" s="9"/>
      <c r="D54" s="9"/>
      <c r="E54" s="9"/>
      <c r="F54" s="9"/>
    </row>
    <row r="55" spans="1:6" x14ac:dyDescent="0.25">
      <c r="A55" s="9"/>
      <c r="B55" s="9"/>
      <c r="C55" s="9"/>
      <c r="D55" s="9"/>
      <c r="E55" s="9"/>
      <c r="F55" s="9"/>
    </row>
    <row r="56" spans="1:6" x14ac:dyDescent="0.25">
      <c r="A56" s="9"/>
      <c r="B56" s="9"/>
      <c r="C56" s="9"/>
      <c r="D56" s="9"/>
      <c r="E56" s="9"/>
      <c r="F56" s="9"/>
    </row>
    <row r="57" spans="1:6" x14ac:dyDescent="0.25">
      <c r="A57" s="9"/>
      <c r="B57" s="9"/>
      <c r="C57" s="9"/>
      <c r="D57" s="9"/>
      <c r="E57" s="9"/>
      <c r="F57" s="9"/>
    </row>
    <row r="58" spans="1:6" x14ac:dyDescent="0.25">
      <c r="A58" s="9"/>
      <c r="B58" s="9"/>
      <c r="C58" s="9"/>
      <c r="D58" s="9"/>
      <c r="E58" s="9"/>
      <c r="F58" s="9"/>
    </row>
    <row r="59" spans="1:6" x14ac:dyDescent="0.25">
      <c r="A59" s="9"/>
      <c r="B59" s="9"/>
      <c r="C59" s="9"/>
      <c r="D59" s="9"/>
      <c r="E59" s="9"/>
      <c r="F59" s="9"/>
    </row>
    <row r="60" spans="1:6" x14ac:dyDescent="0.25">
      <c r="A60" s="9"/>
      <c r="B60" s="9"/>
      <c r="C60" s="9"/>
      <c r="D60" s="9"/>
      <c r="E60" s="9"/>
      <c r="F60" s="9"/>
    </row>
    <row r="61" spans="1:6" x14ac:dyDescent="0.25">
      <c r="A61" s="9"/>
      <c r="B61" s="9"/>
      <c r="C61" s="9"/>
      <c r="D61" s="9"/>
      <c r="E61" s="9"/>
      <c r="F61" s="9"/>
    </row>
    <row r="62" spans="1:6" x14ac:dyDescent="0.25">
      <c r="A62" s="9"/>
      <c r="B62" s="9"/>
      <c r="C62" s="9"/>
      <c r="D62" s="9"/>
      <c r="E62" s="9"/>
      <c r="F62" s="9"/>
    </row>
    <row r="63" spans="1:6" x14ac:dyDescent="0.25">
      <c r="A63" s="9"/>
      <c r="B63" s="9"/>
      <c r="C63" s="9"/>
      <c r="D63" s="9"/>
      <c r="E63" s="9"/>
      <c r="F63" s="9"/>
    </row>
  </sheetData>
  <pageMargins left="0.78740157480314965" right="0.5118110236220472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Tabelle3</vt:lpstr>
      <vt:lpstr>Bild</vt:lpstr>
      <vt:lpstr>calc-germ.</vt:lpstr>
      <vt:lpstr>calc-engl.</vt:lpstr>
      <vt:lpstr>Formeln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Bladt</dc:creator>
  <cp:lastModifiedBy>Bladt</cp:lastModifiedBy>
  <cp:lastPrinted>2016-03-24T17:13:13Z</cp:lastPrinted>
  <dcterms:created xsi:type="dcterms:W3CDTF">2016-03-09T14:24:59Z</dcterms:created>
  <dcterms:modified xsi:type="dcterms:W3CDTF">2016-03-27T09:22:26Z</dcterms:modified>
</cp:coreProperties>
</file>