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9456" windowHeight="4440" activeTab="0"/>
  </bookViews>
  <sheets>
    <sheet name="Animation" sheetId="1" r:id="rId1"/>
    <sheet name="Formula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<sst xmlns="http://schemas.openxmlformats.org/spreadsheetml/2006/main" count="238" uniqueCount="111">
  <si>
    <t>i [-]</t>
  </si>
  <si>
    <r>
      <t xml:space="preserve">Winkel </t>
    </r>
    <r>
      <rPr>
        <sz val="8"/>
        <rFont val="Symbol"/>
        <family val="1"/>
      </rPr>
      <t xml:space="preserve">j </t>
    </r>
    <r>
      <rPr>
        <sz val="8"/>
        <rFont val="Arial Narrow"/>
        <family val="2"/>
      </rPr>
      <t>[-°]</t>
    </r>
  </si>
  <si>
    <t xml:space="preserve">Radius des Kurbeltriebs </t>
  </si>
  <si>
    <t>Warm  - W</t>
  </si>
  <si>
    <r>
      <t>r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</si>
  <si>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t>Kalt  -  K</t>
  </si>
  <si>
    <t>Länge des Pleuels</t>
  </si>
  <si>
    <t>Winkel zwischen den Kurbeln</t>
  </si>
  <si>
    <r>
      <t>l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</si>
  <si>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l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</si>
  <si>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D</t>
    </r>
    <r>
      <rPr>
        <sz val="10"/>
        <rFont val="Arial"/>
        <family val="0"/>
      </rPr>
      <t xml:space="preserve"> [-°]</t>
    </r>
  </si>
  <si>
    <t>◄</t>
  </si>
  <si>
    <t>Kurbelkreis-W</t>
  </si>
  <si>
    <r>
      <t>x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</si>
  <si>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</si>
  <si>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t>Anstieg der Kolbenweggeraden auf x-Achse bezogen</t>
  </si>
  <si>
    <r>
      <t>a</t>
    </r>
    <r>
      <rPr>
        <vertAlign val="subscript"/>
        <sz val="8"/>
        <rFont val="Arial Narrow"/>
        <family val="2"/>
      </rPr>
      <t xml:space="preserve">W </t>
    </r>
    <r>
      <rPr>
        <sz val="8"/>
        <rFont val="Arial Narrow"/>
        <family val="2"/>
      </rPr>
      <t>[-°]</t>
    </r>
  </si>
  <si>
    <r>
      <t>a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[-°]</t>
    </r>
  </si>
  <si>
    <r>
      <t>x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</si>
  <si>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</si>
  <si>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</si>
  <si>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</si>
  <si>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WK</t>
    </r>
    <r>
      <rPr>
        <sz val="8"/>
        <rFont val="Arial Narrow"/>
        <family val="2"/>
      </rPr>
      <t xml:space="preserve"> [mm]</t>
    </r>
  </si>
  <si>
    <t>Kurbelwinkel-W</t>
  </si>
  <si>
    <t>Kolben -W</t>
  </si>
  <si>
    <t>Anstieg der Kolbenweggeraden auf y-Achse bezogen</t>
  </si>
  <si>
    <r>
      <t>p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</si>
  <si>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q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</si>
  <si>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WK</t>
    </r>
    <r>
      <rPr>
        <sz val="8"/>
        <rFont val="Arial Narrow"/>
        <family val="2"/>
      </rPr>
      <t xml:space="preserve"> [mm]</t>
    </r>
  </si>
  <si>
    <t>.-.</t>
  </si>
  <si>
    <t>Kurbellage-W</t>
  </si>
  <si>
    <t>Pleuelbahn-W</t>
  </si>
  <si>
    <t>Kolbenstangenlänge</t>
  </si>
  <si>
    <r>
      <t>s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>[mm]</t>
    </r>
  </si>
  <si>
    <t>Pleuellage-W</t>
  </si>
  <si>
    <t>Kolbengerade-W</t>
  </si>
  <si>
    <t>Beispiel</t>
  </si>
  <si>
    <t>input</t>
  </si>
  <si>
    <t>value</t>
  </si>
  <si>
    <t>Symbol</t>
  </si>
  <si>
    <t>Kolbenpkt.-W</t>
  </si>
  <si>
    <r>
      <t xml:space="preserve">Winkel </t>
    </r>
    <r>
      <rPr>
        <sz val="8"/>
        <rFont val="Symbol"/>
        <family val="1"/>
      </rPr>
      <t>j</t>
    </r>
    <r>
      <rPr>
        <vertAlign val="subscript"/>
        <sz val="8"/>
        <rFont val="Arial Narrow"/>
        <family val="2"/>
      </rPr>
      <t>W</t>
    </r>
    <r>
      <rPr>
        <sz val="8"/>
        <rFont val="Symbol"/>
        <family val="1"/>
      </rPr>
      <t xml:space="preserve"> </t>
    </r>
    <r>
      <rPr>
        <sz val="8"/>
        <rFont val="Arial Narrow"/>
        <family val="2"/>
      </rPr>
      <t>[-°]</t>
    </r>
  </si>
  <si>
    <r>
      <t xml:space="preserve">Winkel </t>
    </r>
    <r>
      <rPr>
        <sz val="8"/>
        <rFont val="Symbol"/>
        <family val="1"/>
      </rPr>
      <t>j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[-°]</t>
    </r>
  </si>
  <si>
    <r>
      <t>x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</si>
  <si>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p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</si>
  <si>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q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</si>
  <si>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KP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</si>
  <si>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KP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</si>
  <si>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KK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</si>
  <si>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KK</t>
    </r>
    <r>
      <rPr>
        <sz val="8"/>
        <rFont val="Arial Narrow"/>
        <family val="2"/>
      </rPr>
      <t xml:space="preserve"> [mm]</t>
    </r>
  </si>
  <si>
    <r>
      <t>r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</si>
  <si>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t>Kurbelwinkel-K</t>
  </si>
  <si>
    <t>Kurbelkreis-K</t>
  </si>
  <si>
    <t>Pleuelbahn-K</t>
  </si>
  <si>
    <t>Kolben -K</t>
  </si>
  <si>
    <t>Kurbellage-K</t>
  </si>
  <si>
    <t>Pleuellage-K</t>
  </si>
  <si>
    <t>Kolbenstange-K</t>
  </si>
  <si>
    <t>Kolbenstange-W</t>
  </si>
  <si>
    <t>√‾ [mm]</t>
  </si>
  <si>
    <r>
      <t>w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 - ]</t>
    </r>
  </si>
  <si>
    <t>→</t>
  </si>
  <si>
    <r>
      <t>y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</si>
  <si>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0w</t>
    </r>
    <r>
      <rPr>
        <sz val="8"/>
        <rFont val="Arial Narrow"/>
        <family val="2"/>
      </rPr>
      <t>[mm]</t>
    </r>
  </si>
  <si>
    <t xml:space="preserve">Schnittpkt. der Kolbenweggeraden mit der y-Achse </t>
  </si>
  <si>
    <t>Schnittpunkt des Kolbenweggeraden in einem festen, vorgegeben Punkt</t>
  </si>
  <si>
    <t>Schnittpunkt des Kolbenweggeraden in einem festen, vorgegeben Punkt.</t>
  </si>
  <si>
    <t>Max.</t>
  </si>
  <si>
    <t>Min.</t>
  </si>
  <si>
    <t>Diff.</t>
  </si>
  <si>
    <t>Mittel</t>
  </si>
  <si>
    <r>
      <t xml:space="preserve">  </t>
    </r>
    <r>
      <rPr>
        <sz val="10"/>
        <color indexed="40"/>
        <rFont val="Arial"/>
        <family val="2"/>
      </rPr>
      <t xml:space="preserve"> →</t>
    </r>
    <r>
      <rPr>
        <sz val="10"/>
        <rFont val="Arial"/>
        <family val="2"/>
      </rPr>
      <t xml:space="preserve">  </t>
    </r>
  </si>
  <si>
    <t>Kolbenweg-W</t>
  </si>
  <si>
    <t>Kolbenweg-K</t>
  </si>
  <si>
    <t>Kolbenlauf-W</t>
  </si>
  <si>
    <t>Kolbenlauf-K</t>
  </si>
  <si>
    <r>
      <t>s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[mm]</t>
    </r>
  </si>
  <si>
    <r>
      <t>S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[-]</t>
    </r>
  </si>
  <si>
    <r>
      <t>s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[-]</t>
    </r>
  </si>
  <si>
    <t>Kurbel-winkel-W</t>
  </si>
  <si>
    <t>Zyl-W</t>
  </si>
  <si>
    <t>Zyl-W1</t>
  </si>
  <si>
    <t>Zyl-W2</t>
  </si>
  <si>
    <t>Zyl-K1</t>
  </si>
  <si>
    <t>Zyl-K2</t>
  </si>
  <si>
    <t>Zyl-K</t>
  </si>
  <si>
    <t>y</t>
  </si>
  <si>
    <r>
      <t xml:space="preserve">j </t>
    </r>
    <r>
      <rPr>
        <sz val="8"/>
        <rFont val="Arial Narrow"/>
        <family val="2"/>
      </rPr>
      <t>- 90°</t>
    </r>
  </si>
  <si>
    <t>Value</t>
  </si>
  <si>
    <t>Input</t>
  </si>
  <si>
    <t>Exp.</t>
  </si>
  <si>
    <r>
      <t>w</t>
    </r>
    <r>
      <rPr>
        <vertAlign val="subscript"/>
        <sz val="8"/>
        <rFont val="Arial Narrow"/>
        <family val="2"/>
      </rPr>
      <t>Wx</t>
    </r>
    <r>
      <rPr>
        <sz val="8"/>
        <rFont val="Arial Narrow"/>
        <family val="2"/>
      </rPr>
      <t xml:space="preserve"> [ - ]</t>
    </r>
  </si>
  <si>
    <r>
      <t>w</t>
    </r>
    <r>
      <rPr>
        <vertAlign val="subscript"/>
        <sz val="8"/>
        <rFont val="Arial Narrow"/>
        <family val="2"/>
      </rPr>
      <t>Wy</t>
    </r>
    <r>
      <rPr>
        <sz val="8"/>
        <rFont val="Arial Narrow"/>
        <family val="2"/>
      </rPr>
      <t xml:space="preserve"> [ - ]</t>
    </r>
  </si>
  <si>
    <r>
      <t xml:space="preserve">Wurzzelkoeffizient für y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</si>
  <si>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Wurzzelkoeffizient x   </t>
    </r>
    <r>
      <rPr>
        <b/>
        <sz val="8"/>
        <rFont val="Arial Narrow"/>
        <family val="2"/>
      </rPr>
      <t xml:space="preserve">+1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</si>
  <si>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Quadrantenlkoeffizient für x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</si>
  <si>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Quadrantenkoeffizient für y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</si>
  <si>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>Länge des Pleuels  &gt; r</t>
    </r>
    <r>
      <rPr>
        <vertAlign val="subscript"/>
        <sz val="8"/>
        <rFont val="Arial Narrow"/>
        <family val="2"/>
      </rPr>
      <t>W</t>
    </r>
  </si>
  <si>
    <r>
      <t>Länge des Pleuels  &gt; r</t>
    </r>
    <r>
      <rPr>
        <vertAlign val="subscript"/>
        <sz val="8"/>
        <rFont val="Arial Narrow"/>
        <family val="2"/>
      </rPr>
      <t>K</t>
    </r>
  </si>
  <si>
    <r>
      <t>D</t>
    </r>
    <r>
      <rPr>
        <sz val="8"/>
        <rFont val="Arial Narrow"/>
        <family val="2"/>
      </rPr>
      <t xml:space="preserve"> [-°]</t>
    </r>
  </si>
  <si>
    <r>
      <t xml:space="preserve">Quadrantenkoeffizient für  x   </t>
    </r>
    <r>
      <rPr>
        <b/>
        <sz val="8"/>
        <rFont val="Arial Narrow"/>
        <family val="2"/>
      </rPr>
      <t xml:space="preserve">+1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</si>
  <si>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Quadrantenlkoeffizient für x  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</si>
  <si>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Quadrantenkoeffizient für y  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</si>
  <si>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Quadrantenkoeffizient für  y   </t>
    </r>
    <r>
      <rPr>
        <b/>
        <sz val="8"/>
        <rFont val="Arial Narrow"/>
        <family val="2"/>
      </rPr>
      <t xml:space="preserve">+1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</si>
  <si>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t>Nachlauf 90°</t>
  </si>
  <si>
    <r>
      <t>j</t>
    </r>
    <r>
      <rPr>
        <b/>
        <vertAlign val="subscript"/>
        <sz val="8"/>
        <color indexed="8"/>
        <rFont val="Arial Narrow"/>
        <family val="2"/>
      </rPr>
      <t>W</t>
    </r>
    <r>
      <rPr>
        <b/>
        <sz val="8"/>
        <color indexed="8"/>
        <rFont val="Symbol"/>
        <family val="1"/>
      </rPr>
      <t xml:space="preserve"> </t>
    </r>
    <r>
      <rPr>
        <b/>
        <sz val="8"/>
        <color indexed="8"/>
        <rFont val="Arial Narrow"/>
        <family val="2"/>
      </rPr>
      <t>[-°]</t>
    </r>
  </si>
  <si>
    <r>
      <t>j</t>
    </r>
    <r>
      <rPr>
        <b/>
        <vertAlign val="subscript"/>
        <sz val="8"/>
        <color indexed="8"/>
        <rFont val="Arial Narrow"/>
        <family val="2"/>
      </rPr>
      <t>K</t>
    </r>
    <r>
      <rPr>
        <b/>
        <sz val="8"/>
        <color indexed="8"/>
        <rFont val="Symbol"/>
        <family val="1"/>
      </rPr>
      <t xml:space="preserve"> </t>
    </r>
    <r>
      <rPr>
        <b/>
        <sz val="8"/>
        <color indexed="8"/>
        <rFont val="Arial Narrow"/>
        <family val="2"/>
      </rPr>
      <t>[-°]</t>
    </r>
  </si>
  <si>
    <r>
      <t>w</t>
    </r>
    <r>
      <rPr>
        <vertAlign val="subscript"/>
        <sz val="8"/>
        <rFont val="Arial Narrow"/>
        <family val="2"/>
      </rPr>
      <t>Kx</t>
    </r>
    <r>
      <rPr>
        <sz val="8"/>
        <rFont val="Arial Narrow"/>
        <family val="2"/>
      </rPr>
      <t xml:space="preserve"> [ - ]</t>
    </r>
  </si>
  <si>
    <r>
      <t>w</t>
    </r>
    <r>
      <rPr>
        <vertAlign val="subscript"/>
        <sz val="8"/>
        <rFont val="Arial Narrow"/>
        <family val="2"/>
      </rPr>
      <t>Ky</t>
    </r>
    <r>
      <rPr>
        <sz val="8"/>
        <rFont val="Arial Narrow"/>
        <family val="2"/>
      </rPr>
      <t xml:space="preserve"> [ - ]</t>
    </r>
  </si>
  <si>
    <t>Kurbelwinkel - Laufvariable -Warm</t>
  </si>
  <si>
    <t>Kurbelwinkel - Laufvariable- Kalt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</si>
</sst>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\°"/>
    <numFmt numFmtId="167" formatCode="0.0\°"/>
    <numFmt numFmtId="168" formatCode="0.0000"/>
    <numFmt numFmtId="169" formatCode="0.00000"/>
    <numFmt numFmtId="170" formatCode="0.000000"/>
    <numFmt numFmtId="171" formatCode="0\°"/>
  </numFmts>
  <fonts count="8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8"/>
      <name val="Symbol"/>
      <family val="1"/>
    </font>
    <font>
      <b/>
      <sz val="10"/>
      <color indexed="9"/>
      <name val="Arial"/>
      <family val="2"/>
    </font>
    <font>
      <vertAlign val="subscript"/>
      <sz val="8"/>
      <name val="Arial Narrow"/>
      <family val="2"/>
    </font>
    <font>
      <sz val="10"/>
      <name val="Symbol"/>
      <family val="1"/>
    </font>
    <font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0"/>
      <color indexed="40"/>
      <name val="Arial Narrow"/>
      <family val="2"/>
    </font>
    <font>
      <sz val="10"/>
      <color indexed="40"/>
      <name val="Arial"/>
      <family val="2"/>
    </font>
    <font>
      <sz val="8"/>
      <color indexed="40"/>
      <name val="Arial Narrow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color indexed="15"/>
      <name val="Arial Narrow"/>
      <family val="2"/>
    </font>
    <font>
      <b/>
      <sz val="8"/>
      <color indexed="8"/>
      <name val="Symbol"/>
      <family val="1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2"/>
      <name val="Arial Narrow"/>
      <family val="2"/>
    </font>
    <font>
      <b/>
      <i/>
      <sz val="8"/>
      <name val="Arial Narrow"/>
      <family val="2"/>
    </font>
    <font>
      <sz val="8"/>
      <color indexed="45"/>
      <name val="Arial Narrow"/>
      <family val="2"/>
    </font>
    <font>
      <sz val="8"/>
      <color indexed="44"/>
      <name val="Arial Narrow"/>
      <family val="2"/>
    </font>
    <font>
      <b/>
      <vertAlign val="subscript"/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8"/>
      <color indexed="8"/>
      <name val="Arial"/>
      <family val="0"/>
    </font>
    <font>
      <sz val="6.75"/>
      <color indexed="58"/>
      <name val="Arial Narrow"/>
      <family val="0"/>
    </font>
    <font>
      <b/>
      <sz val="8"/>
      <color indexed="8"/>
      <name val="Arial"/>
      <family val="0"/>
    </font>
    <font>
      <sz val="6"/>
      <color indexed="8"/>
      <name val="Arial Narrow"/>
      <family val="0"/>
    </font>
    <font>
      <sz val="3.5"/>
      <color indexed="8"/>
      <name val="Arial Narrow"/>
      <family val="0"/>
    </font>
    <font>
      <sz val="8.25"/>
      <color indexed="8"/>
      <name val="Arial"/>
      <family val="0"/>
    </font>
    <font>
      <b/>
      <sz val="5.75"/>
      <color indexed="8"/>
      <name val="Arial"/>
      <family val="0"/>
    </font>
    <font>
      <b/>
      <sz val="5.75"/>
      <color indexed="8"/>
      <name val="Arial Narrow"/>
      <family val="0"/>
    </font>
    <font>
      <sz val="6.75"/>
      <color indexed="8"/>
      <name val="Arial Narrow"/>
      <family val="0"/>
    </font>
    <font>
      <sz val="5.5"/>
      <color indexed="8"/>
      <name val="Arial Narrow"/>
      <family val="0"/>
    </font>
    <font>
      <b/>
      <sz val="9.5"/>
      <color indexed="8"/>
      <name val="Arial"/>
      <family val="0"/>
    </font>
    <font>
      <sz val="6.75"/>
      <color indexed="8"/>
      <name val="Arial"/>
      <family val="0"/>
    </font>
    <font>
      <sz val="9.5"/>
      <color indexed="8"/>
      <name val="Arial"/>
      <family val="0"/>
    </font>
    <font>
      <sz val="8.25"/>
      <color indexed="58"/>
      <name val="Arial Narrow"/>
      <family val="0"/>
    </font>
    <font>
      <sz val="7.25"/>
      <color indexed="8"/>
      <name val="Arial Narrow"/>
      <family val="0"/>
    </font>
    <font>
      <b/>
      <sz val="12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Arial"/>
      <family val="0"/>
    </font>
    <font>
      <sz val="4.25"/>
      <color indexed="8"/>
      <name val="Arial Narrow"/>
      <family val="0"/>
    </font>
    <font>
      <sz val="5.5"/>
      <color indexed="8"/>
      <name val="Arial"/>
      <family val="0"/>
    </font>
    <font>
      <b/>
      <sz val="10"/>
      <color indexed="8"/>
      <name val="Arial"/>
      <family val="0"/>
    </font>
    <font>
      <b/>
      <sz val="11.2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273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35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36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/>
    </xf>
    <xf numFmtId="2" fontId="2" fillId="39" borderId="11" xfId="0" applyNumberFormat="1" applyFont="1" applyFill="1" applyBorder="1" applyAlignment="1">
      <alignment horizontal="center"/>
    </xf>
    <xf numFmtId="2" fontId="2" fillId="39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8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164" fontId="12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2" fillId="39" borderId="16" xfId="0" applyFont="1" applyFill="1" applyBorder="1" applyAlignment="1">
      <alignment/>
    </xf>
    <xf numFmtId="0" fontId="2" fillId="39" borderId="0" xfId="0" applyFont="1" applyFill="1" applyAlignment="1">
      <alignment vertical="center"/>
    </xf>
    <xf numFmtId="0" fontId="11" fillId="39" borderId="0" xfId="0" applyFont="1" applyFill="1" applyAlignment="1">
      <alignment vertical="center"/>
    </xf>
    <xf numFmtId="0" fontId="2" fillId="39" borderId="17" xfId="0" applyFont="1" applyFill="1" applyBorder="1" applyAlignment="1">
      <alignment/>
    </xf>
    <xf numFmtId="2" fontId="2" fillId="40" borderId="12" xfId="0" applyNumberFormat="1" applyFont="1" applyFill="1" applyBorder="1" applyAlignment="1">
      <alignment horizontal="center"/>
    </xf>
    <xf numFmtId="2" fontId="2" fillId="40" borderId="10" xfId="0" applyNumberFormat="1" applyFont="1" applyFill="1" applyBorder="1" applyAlignment="1">
      <alignment horizontal="center"/>
    </xf>
    <xf numFmtId="0" fontId="8" fillId="39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8" fillId="35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39" borderId="2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167" fontId="12" fillId="41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167" fontId="12" fillId="42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1" fontId="9" fillId="0" borderId="12" xfId="0" applyNumberFormat="1" applyFont="1" applyBorder="1" applyAlignment="1">
      <alignment horizontal="center"/>
    </xf>
    <xf numFmtId="0" fontId="21" fillId="39" borderId="0" xfId="0" applyFont="1" applyFill="1" applyBorder="1" applyAlignment="1">
      <alignment/>
    </xf>
    <xf numFmtId="0" fontId="21" fillId="39" borderId="16" xfId="0" applyFont="1" applyFill="1" applyBorder="1" applyAlignment="1">
      <alignment/>
    </xf>
    <xf numFmtId="0" fontId="21" fillId="39" borderId="0" xfId="0" applyFont="1" applyFill="1" applyAlignment="1">
      <alignment/>
    </xf>
    <xf numFmtId="0" fontId="21" fillId="39" borderId="1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12" fillId="33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/>
    </xf>
    <xf numFmtId="0" fontId="24" fillId="36" borderId="26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33" borderId="10" xfId="0" applyFont="1" applyFill="1" applyBorder="1" applyAlignment="1">
      <alignment vertical="center"/>
    </xf>
    <xf numFmtId="167" fontId="12" fillId="44" borderId="10" xfId="0" applyNumberFormat="1" applyFont="1" applyFill="1" applyBorder="1" applyAlignment="1" applyProtection="1">
      <alignment horizontal="center" vertical="center"/>
      <protection locked="0"/>
    </xf>
    <xf numFmtId="167" fontId="9" fillId="44" borderId="10" xfId="0" applyNumberFormat="1" applyFont="1" applyFill="1" applyBorder="1" applyAlignment="1">
      <alignment horizontal="center" vertical="center"/>
    </xf>
    <xf numFmtId="167" fontId="9" fillId="44" borderId="24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 applyProtection="1">
      <alignment horizontal="center" vertical="center"/>
      <protection/>
    </xf>
    <xf numFmtId="0" fontId="21" fillId="39" borderId="20" xfId="0" applyFont="1" applyFill="1" applyBorder="1" applyAlignment="1">
      <alignment/>
    </xf>
    <xf numFmtId="0" fontId="27" fillId="39" borderId="20" xfId="0" applyFont="1" applyFill="1" applyBorder="1" applyAlignment="1">
      <alignment/>
    </xf>
    <xf numFmtId="0" fontId="28" fillId="39" borderId="20" xfId="0" applyFont="1" applyFill="1" applyBorder="1" applyAlignment="1">
      <alignment/>
    </xf>
    <xf numFmtId="0" fontId="2" fillId="39" borderId="31" xfId="0" applyFont="1" applyFill="1" applyBorder="1" applyAlignment="1">
      <alignment horizontal="center"/>
    </xf>
    <xf numFmtId="2" fontId="2" fillId="33" borderId="32" xfId="0" applyNumberFormat="1" applyFont="1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0" xfId="0" applyFill="1" applyAlignment="1">
      <alignment/>
    </xf>
    <xf numFmtId="0" fontId="2" fillId="37" borderId="20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33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0" xfId="0" applyFill="1" applyBorder="1" applyAlignment="1">
      <alignment/>
    </xf>
    <xf numFmtId="0" fontId="0" fillId="0" borderId="35" xfId="0" applyFill="1" applyBorder="1" applyAlignment="1">
      <alignment/>
    </xf>
    <xf numFmtId="1" fontId="9" fillId="0" borderId="23" xfId="0" applyNumberFormat="1" applyFont="1" applyBorder="1" applyAlignment="1">
      <alignment horizontal="center"/>
    </xf>
    <xf numFmtId="0" fontId="21" fillId="39" borderId="36" xfId="0" applyFont="1" applyFill="1" applyBorder="1" applyAlignment="1">
      <alignment/>
    </xf>
    <xf numFmtId="1" fontId="9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39" borderId="22" xfId="0" applyFill="1" applyBorder="1" applyAlignment="1">
      <alignment/>
    </xf>
    <xf numFmtId="0" fontId="24" fillId="39" borderId="33" xfId="0" applyFont="1" applyFill="1" applyBorder="1" applyAlignment="1">
      <alignment vertical="center"/>
    </xf>
    <xf numFmtId="0" fontId="15" fillId="39" borderId="33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2" fillId="39" borderId="39" xfId="0" applyFont="1" applyFill="1" applyBorder="1" applyAlignment="1">
      <alignment horizontal="center"/>
    </xf>
    <xf numFmtId="0" fontId="28" fillId="39" borderId="20" xfId="0" applyFont="1" applyFill="1" applyBorder="1" applyAlignment="1">
      <alignment vertical="center"/>
    </xf>
    <xf numFmtId="0" fontId="21" fillId="39" borderId="20" xfId="0" applyFont="1" applyFill="1" applyBorder="1" applyAlignment="1">
      <alignment vertical="center"/>
    </xf>
    <xf numFmtId="0" fontId="11" fillId="39" borderId="20" xfId="0" applyFont="1" applyFill="1" applyBorder="1" applyAlignment="1">
      <alignment vertical="center"/>
    </xf>
    <xf numFmtId="0" fontId="27" fillId="39" borderId="36" xfId="0" applyFont="1" applyFill="1" applyBorder="1" applyAlignment="1">
      <alignment/>
    </xf>
    <xf numFmtId="0" fontId="21" fillId="39" borderId="4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1" fillId="0" borderId="0" xfId="0" applyFont="1" applyBorder="1" applyAlignment="1">
      <alignment/>
    </xf>
    <xf numFmtId="0" fontId="0" fillId="37" borderId="41" xfId="0" applyFill="1" applyBorder="1" applyAlignment="1">
      <alignment/>
    </xf>
    <xf numFmtId="0" fontId="0" fillId="37" borderId="33" xfId="0" applyFill="1" applyBorder="1" applyAlignment="1">
      <alignment/>
    </xf>
    <xf numFmtId="171" fontId="23" fillId="43" borderId="42" xfId="0" applyNumberFormat="1" applyFont="1" applyFill="1" applyBorder="1" applyAlignment="1" applyProtection="1">
      <alignment horizontal="center"/>
      <protection locked="0"/>
    </xf>
    <xf numFmtId="171" fontId="12" fillId="43" borderId="29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8" fillId="36" borderId="15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45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8" fillId="35" borderId="32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vertical="center"/>
    </xf>
    <xf numFmtId="0" fontId="2" fillId="0" borderId="49" xfId="0" applyFont="1" applyBorder="1" applyAlignment="1">
      <alignment/>
    </xf>
    <xf numFmtId="0" fontId="2" fillId="0" borderId="5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43" borderId="53" xfId="0" applyFont="1" applyFill="1" applyBorder="1" applyAlignment="1">
      <alignment vertical="center"/>
    </xf>
    <xf numFmtId="0" fontId="26" fillId="43" borderId="54" xfId="0" applyFont="1" applyFill="1" applyBorder="1" applyAlignment="1">
      <alignment vertical="center"/>
    </xf>
    <xf numFmtId="0" fontId="26" fillId="43" borderId="21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8" fillId="35" borderId="55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vertical="center"/>
    </xf>
    <xf numFmtId="0" fontId="2" fillId="0" borderId="57" xfId="0" applyFont="1" applyBorder="1" applyAlignment="1">
      <alignment/>
    </xf>
    <xf numFmtId="0" fontId="4" fillId="36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Kinematik des einfachen Stirlingmotors
warm-rot,  kalt-blau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1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Calculation!$D$16</c:f>
              <c:strCache>
                <c:ptCount val="1"/>
                <c:pt idx="0">
                  <c:v>Kurbelkreis-W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Calculation!$D$18:$D$66</c:f>
              <c:numCache>
                <c:ptCount val="49"/>
                <c:pt idx="0">
                  <c:v>15</c:v>
                </c:pt>
                <c:pt idx="1">
                  <c:v>14.871672920607155</c:v>
                </c:pt>
                <c:pt idx="2">
                  <c:v>14.488887394336025</c:v>
                </c:pt>
                <c:pt idx="3">
                  <c:v>13.858192987669302</c:v>
                </c:pt>
                <c:pt idx="4">
                  <c:v>12.99038105676658</c:v>
                </c:pt>
                <c:pt idx="5">
                  <c:v>11.900300104368528</c:v>
                </c:pt>
                <c:pt idx="6">
                  <c:v>10.606601717798213</c:v>
                </c:pt>
                <c:pt idx="7">
                  <c:v>9.13142143513081</c:v>
                </c:pt>
                <c:pt idx="8">
                  <c:v>7.500000000000002</c:v>
                </c:pt>
                <c:pt idx="9">
                  <c:v>5.740251485476348</c:v>
                </c:pt>
                <c:pt idx="10">
                  <c:v>3.882285676537811</c:v>
                </c:pt>
                <c:pt idx="11">
                  <c:v>1.9578928833007756</c:v>
                </c:pt>
                <c:pt idx="12">
                  <c:v>9.18861341181465E-16</c:v>
                </c:pt>
                <c:pt idx="13">
                  <c:v>-1.9578928833007707</c:v>
                </c:pt>
                <c:pt idx="14">
                  <c:v>-3.882285676537813</c:v>
                </c:pt>
                <c:pt idx="15">
                  <c:v>-5.740251485476346</c:v>
                </c:pt>
                <c:pt idx="16">
                  <c:v>-7.4999999999999964</c:v>
                </c:pt>
                <c:pt idx="17">
                  <c:v>-9.13142143513081</c:v>
                </c:pt>
                <c:pt idx="18">
                  <c:v>-10.606601717798211</c:v>
                </c:pt>
                <c:pt idx="19">
                  <c:v>-11.90030010436853</c:v>
                </c:pt>
                <c:pt idx="20">
                  <c:v>-12.99038105676658</c:v>
                </c:pt>
                <c:pt idx="21">
                  <c:v>-13.858192987669302</c:v>
                </c:pt>
                <c:pt idx="22">
                  <c:v>-14.488887394336023</c:v>
                </c:pt>
                <c:pt idx="23">
                  <c:v>-14.871672920607155</c:v>
                </c:pt>
                <c:pt idx="24">
                  <c:v>-15</c:v>
                </c:pt>
                <c:pt idx="25">
                  <c:v>-14.871672920607157</c:v>
                </c:pt>
                <c:pt idx="26">
                  <c:v>-14.488887394336027</c:v>
                </c:pt>
                <c:pt idx="27">
                  <c:v>-13.858192987669305</c:v>
                </c:pt>
                <c:pt idx="28">
                  <c:v>-12.990381056766578</c:v>
                </c:pt>
                <c:pt idx="29">
                  <c:v>-11.900300104368528</c:v>
                </c:pt>
                <c:pt idx="30">
                  <c:v>-10.606601717798215</c:v>
                </c:pt>
                <c:pt idx="31">
                  <c:v>-9.131421435130813</c:v>
                </c:pt>
                <c:pt idx="32">
                  <c:v>-7.500000000000007</c:v>
                </c:pt>
                <c:pt idx="33">
                  <c:v>-5.7402514854763425</c:v>
                </c:pt>
                <c:pt idx="34">
                  <c:v>-3.8822856765378093</c:v>
                </c:pt>
                <c:pt idx="35">
                  <c:v>-1.9578928833007745</c:v>
                </c:pt>
                <c:pt idx="36">
                  <c:v>-2.756584023544395E-15</c:v>
                </c:pt>
                <c:pt idx="37">
                  <c:v>1.957892883300782</c:v>
                </c:pt>
                <c:pt idx="38">
                  <c:v>3.882285676537817</c:v>
                </c:pt>
                <c:pt idx="39">
                  <c:v>5.7402514854763504</c:v>
                </c:pt>
                <c:pt idx="40">
                  <c:v>7.500000000000002</c:v>
                </c:pt>
                <c:pt idx="41">
                  <c:v>9.131421435130807</c:v>
                </c:pt>
                <c:pt idx="42">
                  <c:v>10.60660171779821</c:v>
                </c:pt>
                <c:pt idx="43">
                  <c:v>11.900300104368524</c:v>
                </c:pt>
                <c:pt idx="44">
                  <c:v>12.990381056766577</c:v>
                </c:pt>
                <c:pt idx="45">
                  <c:v>13.858192987669304</c:v>
                </c:pt>
                <c:pt idx="46">
                  <c:v>14.488887394336025</c:v>
                </c:pt>
                <c:pt idx="47">
                  <c:v>14.871672920607155</c:v>
                </c:pt>
                <c:pt idx="48">
                  <c:v>15</c:v>
                </c:pt>
              </c:numCache>
            </c:numRef>
          </c:xVal>
          <c:yVal>
            <c:numRef>
              <c:f>Calculation!$E$18:$E$66</c:f>
              <c:numCache>
                <c:ptCount val="49"/>
                <c:pt idx="0">
                  <c:v>0</c:v>
                </c:pt>
                <c:pt idx="1">
                  <c:v>1.9578928833007736</c:v>
                </c:pt>
                <c:pt idx="2">
                  <c:v>3.882285676537811</c:v>
                </c:pt>
                <c:pt idx="3">
                  <c:v>5.740251485476347</c:v>
                </c:pt>
                <c:pt idx="4">
                  <c:v>7.499999999999999</c:v>
                </c:pt>
                <c:pt idx="5">
                  <c:v>9.13142143513081</c:v>
                </c:pt>
                <c:pt idx="6">
                  <c:v>10.606601717798211</c:v>
                </c:pt>
                <c:pt idx="7">
                  <c:v>11.900300104368528</c:v>
                </c:pt>
                <c:pt idx="8">
                  <c:v>12.990381056766578</c:v>
                </c:pt>
                <c:pt idx="9">
                  <c:v>13.858192987669302</c:v>
                </c:pt>
                <c:pt idx="10">
                  <c:v>14.488887394336025</c:v>
                </c:pt>
                <c:pt idx="11">
                  <c:v>14.871672920607155</c:v>
                </c:pt>
                <c:pt idx="12">
                  <c:v>15</c:v>
                </c:pt>
                <c:pt idx="13">
                  <c:v>14.871672920607157</c:v>
                </c:pt>
                <c:pt idx="14">
                  <c:v>14.488887394336025</c:v>
                </c:pt>
                <c:pt idx="15">
                  <c:v>13.858192987669302</c:v>
                </c:pt>
                <c:pt idx="16">
                  <c:v>12.99038105676658</c:v>
                </c:pt>
                <c:pt idx="17">
                  <c:v>11.900300104368528</c:v>
                </c:pt>
                <c:pt idx="18">
                  <c:v>10.606601717798213</c:v>
                </c:pt>
                <c:pt idx="19">
                  <c:v>9.131421435130807</c:v>
                </c:pt>
                <c:pt idx="20">
                  <c:v>7.499999999999999</c:v>
                </c:pt>
                <c:pt idx="21">
                  <c:v>5.740251485476349</c:v>
                </c:pt>
                <c:pt idx="22">
                  <c:v>3.882285676537815</c:v>
                </c:pt>
                <c:pt idx="23">
                  <c:v>1.9578928833007736</c:v>
                </c:pt>
                <c:pt idx="24">
                  <c:v>1.83772268236293E-15</c:v>
                </c:pt>
                <c:pt idx="25">
                  <c:v>-1.9578928833007698</c:v>
                </c:pt>
                <c:pt idx="26">
                  <c:v>-3.8822856765378053</c:v>
                </c:pt>
                <c:pt idx="27">
                  <c:v>-5.740251485476338</c:v>
                </c:pt>
                <c:pt idx="28">
                  <c:v>-7.500000000000002</c:v>
                </c:pt>
                <c:pt idx="29">
                  <c:v>-9.13142143513081</c:v>
                </c:pt>
                <c:pt idx="30">
                  <c:v>-10.606601717798211</c:v>
                </c:pt>
                <c:pt idx="31">
                  <c:v>-11.900300104368524</c:v>
                </c:pt>
                <c:pt idx="32">
                  <c:v>-12.990381056766577</c:v>
                </c:pt>
                <c:pt idx="33">
                  <c:v>-13.858192987669304</c:v>
                </c:pt>
                <c:pt idx="34">
                  <c:v>-14.488887394336025</c:v>
                </c:pt>
                <c:pt idx="35">
                  <c:v>-14.871672920607155</c:v>
                </c:pt>
                <c:pt idx="36">
                  <c:v>-15</c:v>
                </c:pt>
                <c:pt idx="37">
                  <c:v>-14.871672920607155</c:v>
                </c:pt>
                <c:pt idx="38">
                  <c:v>-14.488887394336023</c:v>
                </c:pt>
                <c:pt idx="39">
                  <c:v>-13.8581929876693</c:v>
                </c:pt>
                <c:pt idx="40">
                  <c:v>-12.990381056766578</c:v>
                </c:pt>
                <c:pt idx="41">
                  <c:v>-11.900300104368528</c:v>
                </c:pt>
                <c:pt idx="42">
                  <c:v>-10.606601717798215</c:v>
                </c:pt>
                <c:pt idx="43">
                  <c:v>-9.131421435130813</c:v>
                </c:pt>
                <c:pt idx="44">
                  <c:v>-7.500000000000007</c:v>
                </c:pt>
                <c:pt idx="45">
                  <c:v>-5.740251485476343</c:v>
                </c:pt>
                <c:pt idx="46">
                  <c:v>-3.88228567653781</c:v>
                </c:pt>
                <c:pt idx="47">
                  <c:v>-1.9578928833007754</c:v>
                </c:pt>
                <c:pt idx="48">
                  <c:v>-3.67544536472586E-15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Calculation!$D$73</c:f>
              <c:strCache>
                <c:ptCount val="1"/>
                <c:pt idx="0">
                  <c:v>Kurbellage-W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Calculation!$D$75:$D$76</c:f>
              <c:numCache>
                <c:ptCount val="2"/>
                <c:pt idx="0">
                  <c:v>10.606601717798213</c:v>
                </c:pt>
                <c:pt idx="1">
                  <c:v>0</c:v>
                </c:pt>
              </c:numCache>
            </c:numRef>
          </c:xVal>
          <c:yVal>
            <c:numRef>
              <c:f>Calculation!$E$75:$E$76</c:f>
              <c:numCache>
                <c:ptCount val="2"/>
                <c:pt idx="0">
                  <c:v>10.606601717798211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Calculation!$F$73</c:f>
              <c:strCache>
                <c:ptCount val="1"/>
                <c:pt idx="0">
                  <c:v>Pleuellage-W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Calculation!$I$75:$I$76</c:f>
              <c:numCache>
                <c:ptCount val="2"/>
                <c:pt idx="0">
                  <c:v>49.174723269152</c:v>
                </c:pt>
                <c:pt idx="1">
                  <c:v>10.606601717798213</c:v>
                </c:pt>
              </c:numCache>
            </c:numRef>
          </c:xVal>
          <c:yVal>
            <c:numRef>
              <c:f>Calculation!$J$75:$J$76</c:f>
              <c:numCache>
                <c:ptCount val="2"/>
                <c:pt idx="0">
                  <c:v>0</c:v>
                </c:pt>
                <c:pt idx="1">
                  <c:v>10.606601717798211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Calculation!$K$16</c:f>
              <c:strCache>
                <c:ptCount val="1"/>
                <c:pt idx="0">
                  <c:v>Kolben -W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Calculation!$I$18:$I$66</c:f>
              <c:numCache>
                <c:ptCount val="49"/>
                <c:pt idx="0">
                  <c:v>55</c:v>
                </c:pt>
                <c:pt idx="1">
                  <c:v>54.82372737913932</c:v>
                </c:pt>
                <c:pt idx="2">
                  <c:v>54.30003982585638</c:v>
                </c:pt>
                <c:pt idx="3">
                  <c:v>53.44416920252962</c:v>
                </c:pt>
                <c:pt idx="4">
                  <c:v>52.28096517052086</c:v>
                </c:pt>
                <c:pt idx="5">
                  <c:v>50.8440690870188</c:v>
                </c:pt>
                <c:pt idx="6">
                  <c:v>49.174723269152</c:v>
                </c:pt>
                <c:pt idx="7">
                  <c:v>47.32020064350518</c:v>
                </c:pt>
                <c:pt idx="8">
                  <c:v>45.33186487605389</c:v>
                </c:pt>
                <c:pt idx="9">
                  <c:v>43.26291779687423</c:v>
                </c:pt>
                <c:pt idx="10">
                  <c:v>41.165956929168644</c:v>
                </c:pt>
                <c:pt idx="11">
                  <c:v>39.09053815053806</c:v>
                </c:pt>
                <c:pt idx="12">
                  <c:v>37.080992435478315</c:v>
                </c:pt>
                <c:pt idx="13">
                  <c:v>35.174752383936514</c:v>
                </c:pt>
                <c:pt idx="14">
                  <c:v>33.40138557609302</c:v>
                </c:pt>
                <c:pt idx="15">
                  <c:v>31.78241482592153</c:v>
                </c:pt>
                <c:pt idx="16">
                  <c:v>30.331864876053896</c:v>
                </c:pt>
                <c:pt idx="17">
                  <c:v>29.05735777324356</c:v>
                </c:pt>
                <c:pt idx="18">
                  <c:v>27.96151983355557</c:v>
                </c:pt>
                <c:pt idx="19">
                  <c:v>27.04346887828175</c:v>
                </c:pt>
                <c:pt idx="20">
                  <c:v>26.300203056987698</c:v>
                </c:pt>
                <c:pt idx="21">
                  <c:v>25.727783227191015</c:v>
                </c:pt>
                <c:pt idx="22">
                  <c:v>25.32226503718433</c:v>
                </c:pt>
                <c:pt idx="23">
                  <c:v>25.080381537925014</c:v>
                </c:pt>
                <c:pt idx="24">
                  <c:v>25</c:v>
                </c:pt>
                <c:pt idx="25">
                  <c:v>25.08038153792501</c:v>
                </c:pt>
                <c:pt idx="26">
                  <c:v>25.32226503718433</c:v>
                </c:pt>
                <c:pt idx="27">
                  <c:v>25.72778322719101</c:v>
                </c:pt>
                <c:pt idx="28">
                  <c:v>26.300203056987698</c:v>
                </c:pt>
                <c:pt idx="29">
                  <c:v>27.04346887828175</c:v>
                </c:pt>
                <c:pt idx="30">
                  <c:v>27.96151983355557</c:v>
                </c:pt>
                <c:pt idx="31">
                  <c:v>29.05735777324356</c:v>
                </c:pt>
                <c:pt idx="32">
                  <c:v>30.331864876053885</c:v>
                </c:pt>
                <c:pt idx="33">
                  <c:v>31.782414825921535</c:v>
                </c:pt>
                <c:pt idx="34">
                  <c:v>33.40138557609302</c:v>
                </c:pt>
                <c:pt idx="35">
                  <c:v>35.174752383936514</c:v>
                </c:pt>
                <c:pt idx="36">
                  <c:v>37.080992435478315</c:v>
                </c:pt>
                <c:pt idx="37">
                  <c:v>39.09053815053806</c:v>
                </c:pt>
                <c:pt idx="38">
                  <c:v>41.16595692916864</c:v>
                </c:pt>
                <c:pt idx="39">
                  <c:v>43.26291779687423</c:v>
                </c:pt>
                <c:pt idx="40">
                  <c:v>45.33186487605389</c:v>
                </c:pt>
                <c:pt idx="41">
                  <c:v>47.320200643505174</c:v>
                </c:pt>
                <c:pt idx="42">
                  <c:v>49.174723269152</c:v>
                </c:pt>
                <c:pt idx="43">
                  <c:v>50.8440690870188</c:v>
                </c:pt>
                <c:pt idx="44">
                  <c:v>52.28096517052086</c:v>
                </c:pt>
                <c:pt idx="45">
                  <c:v>53.44416920252962</c:v>
                </c:pt>
                <c:pt idx="46">
                  <c:v>54.30003982585638</c:v>
                </c:pt>
                <c:pt idx="47">
                  <c:v>54.82372737913932</c:v>
                </c:pt>
                <c:pt idx="48">
                  <c:v>55</c:v>
                </c:pt>
              </c:numCache>
            </c:numRef>
          </c:xVal>
          <c:yVal>
            <c:numRef>
              <c:f>Calculation!$J$18:$J$66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Calculation!$K$73</c:f>
              <c:strCache>
                <c:ptCount val="1"/>
                <c:pt idx="0">
                  <c:v>Kolbenstange-W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Calculation!$K$75:$K$76</c:f>
              <c:numCache>
                <c:ptCount val="2"/>
                <c:pt idx="0">
                  <c:v>64.174723269152</c:v>
                </c:pt>
                <c:pt idx="1">
                  <c:v>49.174723269152</c:v>
                </c:pt>
              </c:numCache>
            </c:numRef>
          </c:xVal>
          <c:yVal>
            <c:numRef>
              <c:f>Calculation!$L$75:$L$76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Calculation!$K$77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Calculation!$K$78:$K$79</c:f>
              <c:numCache>
                <c:ptCount val="2"/>
                <c:pt idx="0">
                  <c:v>-90</c:v>
                </c:pt>
                <c:pt idx="1">
                  <c:v>90</c:v>
                </c:pt>
              </c:numCache>
            </c:numRef>
          </c:xVal>
          <c:yVal>
            <c:numRef>
              <c:f>Calculation!$L$78:$L$79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Calculation!$K$80</c:f>
              <c:strCache>
                <c:ptCount val="1"/>
                <c:pt idx="0">
                  <c:v>Kolbenpkt.-W</c:v>
                </c:pt>
              </c:strCache>
            </c:strRef>
          </c:tx>
          <c:spPr>
            <a:ln w="127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Calculation!$K$81</c:f>
              <c:numCache>
                <c:ptCount val="1"/>
                <c:pt idx="0">
                  <c:v>64.174723269152</c:v>
                </c:pt>
              </c:numCache>
            </c:numRef>
          </c:xVal>
          <c:yVal>
            <c:numRef>
              <c:f>Calculation!$L$81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Calculation!$P$16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Calculation!$Q$18:$Q$66</c:f>
              <c:numCache>
                <c:ptCount val="49"/>
                <c:pt idx="0">
                  <c:v>15</c:v>
                </c:pt>
                <c:pt idx="1">
                  <c:v>14.871672920607155</c:v>
                </c:pt>
                <c:pt idx="2">
                  <c:v>14.488887394336025</c:v>
                </c:pt>
                <c:pt idx="3">
                  <c:v>13.858192987669302</c:v>
                </c:pt>
                <c:pt idx="4">
                  <c:v>12.99038105676658</c:v>
                </c:pt>
                <c:pt idx="5">
                  <c:v>11.900300104368528</c:v>
                </c:pt>
                <c:pt idx="6">
                  <c:v>10.606601717798213</c:v>
                </c:pt>
                <c:pt idx="7">
                  <c:v>9.13142143513081</c:v>
                </c:pt>
                <c:pt idx="8">
                  <c:v>7.500000000000002</c:v>
                </c:pt>
                <c:pt idx="9">
                  <c:v>5.740251485476348</c:v>
                </c:pt>
                <c:pt idx="10">
                  <c:v>3.882285676537811</c:v>
                </c:pt>
                <c:pt idx="11">
                  <c:v>1.9578928833007756</c:v>
                </c:pt>
                <c:pt idx="12">
                  <c:v>9.18861341181465E-16</c:v>
                </c:pt>
                <c:pt idx="13">
                  <c:v>-1.957892883300774</c:v>
                </c:pt>
                <c:pt idx="14">
                  <c:v>-3.882285676537813</c:v>
                </c:pt>
                <c:pt idx="15">
                  <c:v>-5.740251485476346</c:v>
                </c:pt>
                <c:pt idx="16">
                  <c:v>-7.4999999999999964</c:v>
                </c:pt>
                <c:pt idx="17">
                  <c:v>-9.13142143513081</c:v>
                </c:pt>
                <c:pt idx="18">
                  <c:v>-10.606601717798211</c:v>
                </c:pt>
                <c:pt idx="19">
                  <c:v>-11.900300104368526</c:v>
                </c:pt>
                <c:pt idx="20">
                  <c:v>-12.99038105676658</c:v>
                </c:pt>
                <c:pt idx="21">
                  <c:v>-13.858192987669302</c:v>
                </c:pt>
                <c:pt idx="22">
                  <c:v>-14.488887394336023</c:v>
                </c:pt>
                <c:pt idx="23">
                  <c:v>-14.871672920607155</c:v>
                </c:pt>
                <c:pt idx="24">
                  <c:v>-15</c:v>
                </c:pt>
                <c:pt idx="25">
                  <c:v>-14.871672920607157</c:v>
                </c:pt>
                <c:pt idx="26">
                  <c:v>-14.488887394336025</c:v>
                </c:pt>
                <c:pt idx="27">
                  <c:v>-13.858192987669304</c:v>
                </c:pt>
                <c:pt idx="28">
                  <c:v>-12.990381056766578</c:v>
                </c:pt>
                <c:pt idx="29">
                  <c:v>-11.900300104368528</c:v>
                </c:pt>
                <c:pt idx="30">
                  <c:v>-10.606601717798215</c:v>
                </c:pt>
                <c:pt idx="31">
                  <c:v>-9.131421435130813</c:v>
                </c:pt>
                <c:pt idx="32">
                  <c:v>-7.500000000000007</c:v>
                </c:pt>
                <c:pt idx="33">
                  <c:v>-5.7402514854763425</c:v>
                </c:pt>
                <c:pt idx="34">
                  <c:v>-3.8822856765378093</c:v>
                </c:pt>
                <c:pt idx="35">
                  <c:v>-1.9578928833007745</c:v>
                </c:pt>
                <c:pt idx="36">
                  <c:v>-2.756584023544395E-15</c:v>
                </c:pt>
                <c:pt idx="37">
                  <c:v>1.957892883300769</c:v>
                </c:pt>
                <c:pt idx="38">
                  <c:v>3.8822856765378044</c:v>
                </c:pt>
                <c:pt idx="39">
                  <c:v>5.7402514854763504</c:v>
                </c:pt>
                <c:pt idx="40">
                  <c:v>7.500000000000002</c:v>
                </c:pt>
                <c:pt idx="41">
                  <c:v>9.131421435130807</c:v>
                </c:pt>
                <c:pt idx="42">
                  <c:v>10.60660171779821</c:v>
                </c:pt>
                <c:pt idx="43">
                  <c:v>11.900300104368524</c:v>
                </c:pt>
                <c:pt idx="44">
                  <c:v>12.990381056766577</c:v>
                </c:pt>
                <c:pt idx="45">
                  <c:v>13.858192987669304</c:v>
                </c:pt>
                <c:pt idx="46">
                  <c:v>14.488887394336025</c:v>
                </c:pt>
                <c:pt idx="47">
                  <c:v>14.871672920607155</c:v>
                </c:pt>
                <c:pt idx="48">
                  <c:v>15</c:v>
                </c:pt>
              </c:numCache>
            </c:numRef>
          </c:xVal>
          <c:yVal>
            <c:numRef>
              <c:f>Calculation!$R$18:$R$66</c:f>
              <c:numCache>
                <c:ptCount val="49"/>
                <c:pt idx="0">
                  <c:v>0</c:v>
                </c:pt>
                <c:pt idx="1">
                  <c:v>1.9578928833007736</c:v>
                </c:pt>
                <c:pt idx="2">
                  <c:v>3.882285676537811</c:v>
                </c:pt>
                <c:pt idx="3">
                  <c:v>5.740251485476347</c:v>
                </c:pt>
                <c:pt idx="4">
                  <c:v>7.499999999999999</c:v>
                </c:pt>
                <c:pt idx="5">
                  <c:v>9.13142143513081</c:v>
                </c:pt>
                <c:pt idx="6">
                  <c:v>10.606601717798211</c:v>
                </c:pt>
                <c:pt idx="7">
                  <c:v>11.900300104368528</c:v>
                </c:pt>
                <c:pt idx="8">
                  <c:v>12.990381056766578</c:v>
                </c:pt>
                <c:pt idx="9">
                  <c:v>13.858192987669302</c:v>
                </c:pt>
                <c:pt idx="10">
                  <c:v>14.488887394336025</c:v>
                </c:pt>
                <c:pt idx="11">
                  <c:v>14.871672920607155</c:v>
                </c:pt>
                <c:pt idx="12">
                  <c:v>15</c:v>
                </c:pt>
                <c:pt idx="13">
                  <c:v>14.871672920607155</c:v>
                </c:pt>
                <c:pt idx="14">
                  <c:v>14.488887394336025</c:v>
                </c:pt>
                <c:pt idx="15">
                  <c:v>13.858192987669302</c:v>
                </c:pt>
                <c:pt idx="16">
                  <c:v>12.99038105676658</c:v>
                </c:pt>
                <c:pt idx="17">
                  <c:v>11.900300104368528</c:v>
                </c:pt>
                <c:pt idx="18">
                  <c:v>10.606601717798213</c:v>
                </c:pt>
                <c:pt idx="19">
                  <c:v>9.131421435130813</c:v>
                </c:pt>
                <c:pt idx="20">
                  <c:v>7.499999999999999</c:v>
                </c:pt>
                <c:pt idx="21">
                  <c:v>5.740251485476349</c:v>
                </c:pt>
                <c:pt idx="22">
                  <c:v>3.882285676537815</c:v>
                </c:pt>
                <c:pt idx="23">
                  <c:v>1.9578928833007736</c:v>
                </c:pt>
                <c:pt idx="24">
                  <c:v>1.83772268236293E-15</c:v>
                </c:pt>
                <c:pt idx="25">
                  <c:v>-1.9578928833007698</c:v>
                </c:pt>
                <c:pt idx="26">
                  <c:v>-3.882285676537812</c:v>
                </c:pt>
                <c:pt idx="27">
                  <c:v>-5.740251485476345</c:v>
                </c:pt>
                <c:pt idx="28">
                  <c:v>-7.500000000000002</c:v>
                </c:pt>
                <c:pt idx="29">
                  <c:v>-9.13142143513081</c:v>
                </c:pt>
                <c:pt idx="30">
                  <c:v>-10.606601717798211</c:v>
                </c:pt>
                <c:pt idx="31">
                  <c:v>-11.900300104368524</c:v>
                </c:pt>
                <c:pt idx="32">
                  <c:v>-12.990381056766577</c:v>
                </c:pt>
                <c:pt idx="33">
                  <c:v>-13.858192987669304</c:v>
                </c:pt>
                <c:pt idx="34">
                  <c:v>-14.488887394336025</c:v>
                </c:pt>
                <c:pt idx="35">
                  <c:v>-14.871672920607155</c:v>
                </c:pt>
                <c:pt idx="36">
                  <c:v>-15</c:v>
                </c:pt>
                <c:pt idx="37">
                  <c:v>-14.871672920607157</c:v>
                </c:pt>
                <c:pt idx="38">
                  <c:v>-14.488887394336027</c:v>
                </c:pt>
                <c:pt idx="39">
                  <c:v>-13.8581929876693</c:v>
                </c:pt>
                <c:pt idx="40">
                  <c:v>-12.990381056766578</c:v>
                </c:pt>
                <c:pt idx="41">
                  <c:v>-11.900300104368528</c:v>
                </c:pt>
                <c:pt idx="42">
                  <c:v>-10.606601717798215</c:v>
                </c:pt>
                <c:pt idx="43">
                  <c:v>-9.131421435130813</c:v>
                </c:pt>
                <c:pt idx="44">
                  <c:v>-7.500000000000007</c:v>
                </c:pt>
                <c:pt idx="45">
                  <c:v>-5.740251485476343</c:v>
                </c:pt>
                <c:pt idx="46">
                  <c:v>-3.88228567653781</c:v>
                </c:pt>
                <c:pt idx="47">
                  <c:v>-1.9578928833007754</c:v>
                </c:pt>
                <c:pt idx="48">
                  <c:v>-3.67544536472586E-15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Calculation!$P$73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Calculation!$Q$75:$Q$76</c:f>
              <c:numCache>
                <c:ptCount val="2"/>
                <c:pt idx="0">
                  <c:v>10.606601717798213</c:v>
                </c:pt>
                <c:pt idx="1">
                  <c:v>0</c:v>
                </c:pt>
              </c:numCache>
            </c:numRef>
          </c:xVal>
          <c:yVal>
            <c:numRef>
              <c:f>Calculation!$R$75:$R$76</c:f>
              <c:numCache>
                <c:ptCount val="2"/>
                <c:pt idx="0">
                  <c:v>10.606601717798211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Calculation!$S$16</c:f>
              <c:strCache>
                <c:ptCount val="1"/>
                <c:pt idx="0">
                  <c:v>Pleuelbahn-K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Calculation!$V$18:$V$66</c:f>
              <c:numCache>
                <c:ptCount val="49"/>
                <c:pt idx="0">
                  <c:v>2.2714860294402244E-15</c:v>
                </c:pt>
                <c:pt idx="1">
                  <c:v>2.394585620833909E-15</c:v>
                </c:pt>
                <c:pt idx="2">
                  <c:v>2.521720426330288E-15</c:v>
                </c:pt>
                <c:pt idx="3">
                  <c:v>2.6501748446839552E-15</c:v>
                </c:pt>
                <c:pt idx="4">
                  <c:v>2.7769132105511884E-15</c:v>
                </c:pt>
                <c:pt idx="5">
                  <c:v>2.898713535217813E-15</c:v>
                </c:pt>
                <c:pt idx="6">
                  <c:v>3.0123168116880264E-15</c:v>
                </c:pt>
                <c:pt idx="7">
                  <c:v>3.114576634161411E-15</c:v>
                </c:pt>
                <c:pt idx="8">
                  <c:v>3.2025971849897505E-15</c:v>
                </c:pt>
                <c:pt idx="9">
                  <c:v>3.273852066117701E-15</c:v>
                </c:pt>
                <c:pt idx="10">
                  <c:v>3.3262804947062242E-15</c:v>
                </c:pt>
                <c:pt idx="11">
                  <c:v>3.3583602445441977E-15</c:v>
                </c:pt>
                <c:pt idx="12">
                  <c:v>3.369158250998705E-15</c:v>
                </c:pt>
                <c:pt idx="13">
                  <c:v>3.3583602445441977E-15</c:v>
                </c:pt>
                <c:pt idx="14">
                  <c:v>3.3262804947062242E-15</c:v>
                </c:pt>
                <c:pt idx="15">
                  <c:v>3.273852066117701E-15</c:v>
                </c:pt>
                <c:pt idx="16">
                  <c:v>3.2025971849897505E-15</c:v>
                </c:pt>
                <c:pt idx="17">
                  <c:v>3.114576634161411E-15</c:v>
                </c:pt>
                <c:pt idx="18">
                  <c:v>3.0123168116880264E-15</c:v>
                </c:pt>
                <c:pt idx="19">
                  <c:v>2.898713535217813E-15</c:v>
                </c:pt>
                <c:pt idx="20">
                  <c:v>2.7769132105511884E-15</c:v>
                </c:pt>
                <c:pt idx="21">
                  <c:v>2.6501748446839552E-15</c:v>
                </c:pt>
                <c:pt idx="22">
                  <c:v>2.5217204263302883E-15</c:v>
                </c:pt>
                <c:pt idx="23">
                  <c:v>2.3945856208339085E-15</c:v>
                </c:pt>
                <c:pt idx="24">
                  <c:v>2.2714860294402244E-15</c:v>
                </c:pt>
                <c:pt idx="25">
                  <c:v>2.1547146767486563E-15</c:v>
                </c:pt>
                <c:pt idx="26">
                  <c:v>2.046082796517871E-15</c:v>
                </c:pt>
                <c:pt idx="27">
                  <c:v>1.9469088208621293E-15</c:v>
                </c:pt>
                <c:pt idx="28">
                  <c:v>1.858051869369723E-15</c:v>
                </c:pt>
                <c:pt idx="29">
                  <c:v>1.779978848980816E-15</c:v>
                </c:pt>
                <c:pt idx="30">
                  <c:v>1.7128506410488672E-15</c:v>
                </c:pt>
                <c:pt idx="31">
                  <c:v>1.6566132055798121E-15</c:v>
                </c:pt>
                <c:pt idx="32">
                  <c:v>1.6110826569525724E-15</c:v>
                </c:pt>
                <c:pt idx="33">
                  <c:v>1.576017693450849E-15</c:v>
                </c:pt>
                <c:pt idx="34">
                  <c:v>1.5511766942546478E-15</c:v>
                </c:pt>
                <c:pt idx="35">
                  <c:v>1.5363595344853756E-15</c:v>
                </c:pt>
                <c:pt idx="36">
                  <c:v>1.531435568635775E-15</c:v>
                </c:pt>
                <c:pt idx="37">
                  <c:v>1.5363595344853754E-15</c:v>
                </c:pt>
                <c:pt idx="38">
                  <c:v>1.5511766942546478E-15</c:v>
                </c:pt>
                <c:pt idx="39">
                  <c:v>1.5760176934508493E-15</c:v>
                </c:pt>
                <c:pt idx="40">
                  <c:v>1.6110826569525724E-15</c:v>
                </c:pt>
                <c:pt idx="41">
                  <c:v>1.6566132055798121E-15</c:v>
                </c:pt>
                <c:pt idx="42">
                  <c:v>1.7128506410488668E-15</c:v>
                </c:pt>
                <c:pt idx="43">
                  <c:v>1.779978848980816E-15</c:v>
                </c:pt>
                <c:pt idx="44">
                  <c:v>1.858051869369723E-15</c:v>
                </c:pt>
                <c:pt idx="45">
                  <c:v>1.9469088208621296E-15</c:v>
                </c:pt>
                <c:pt idx="46">
                  <c:v>2.0460827965178715E-15</c:v>
                </c:pt>
                <c:pt idx="47">
                  <c:v>2.154714676748656E-15</c:v>
                </c:pt>
                <c:pt idx="48">
                  <c:v>2.2714860294402244E-15</c:v>
                </c:pt>
              </c:numCache>
            </c:numRef>
          </c:xVal>
          <c:yVal>
            <c:numRef>
              <c:f>Calculation!$W$18:$W$66</c:f>
              <c:numCache>
                <c:ptCount val="49"/>
                <c:pt idx="0">
                  <c:v>37.080992435478315</c:v>
                </c:pt>
                <c:pt idx="1">
                  <c:v>39.090538150538066</c:v>
                </c:pt>
                <c:pt idx="2">
                  <c:v>41.16595692916864</c:v>
                </c:pt>
                <c:pt idx="3">
                  <c:v>43.262917796874234</c:v>
                </c:pt>
                <c:pt idx="4">
                  <c:v>45.33186487605389</c:v>
                </c:pt>
                <c:pt idx="5">
                  <c:v>47.32020064350518</c:v>
                </c:pt>
                <c:pt idx="6">
                  <c:v>49.174723269152</c:v>
                </c:pt>
                <c:pt idx="7">
                  <c:v>50.8440690870188</c:v>
                </c:pt>
                <c:pt idx="8">
                  <c:v>52.28096517052086</c:v>
                </c:pt>
                <c:pt idx="9">
                  <c:v>53.44416920252962</c:v>
                </c:pt>
                <c:pt idx="10">
                  <c:v>54.30003982585639</c:v>
                </c:pt>
                <c:pt idx="11">
                  <c:v>54.82372737913933</c:v>
                </c:pt>
                <c:pt idx="12">
                  <c:v>55</c:v>
                </c:pt>
                <c:pt idx="13">
                  <c:v>54.82372737913933</c:v>
                </c:pt>
                <c:pt idx="14">
                  <c:v>54.30003982585639</c:v>
                </c:pt>
                <c:pt idx="15">
                  <c:v>53.44416920252962</c:v>
                </c:pt>
                <c:pt idx="16">
                  <c:v>52.28096517052086</c:v>
                </c:pt>
                <c:pt idx="17">
                  <c:v>50.8440690870188</c:v>
                </c:pt>
                <c:pt idx="18">
                  <c:v>49.174723269152</c:v>
                </c:pt>
                <c:pt idx="19">
                  <c:v>47.32020064350518</c:v>
                </c:pt>
                <c:pt idx="20">
                  <c:v>45.33186487605389</c:v>
                </c:pt>
                <c:pt idx="21">
                  <c:v>43.262917796874234</c:v>
                </c:pt>
                <c:pt idx="22">
                  <c:v>41.165956929168644</c:v>
                </c:pt>
                <c:pt idx="23">
                  <c:v>39.09053815053806</c:v>
                </c:pt>
                <c:pt idx="24">
                  <c:v>37.080992435478315</c:v>
                </c:pt>
                <c:pt idx="25">
                  <c:v>35.17475238393652</c:v>
                </c:pt>
                <c:pt idx="26">
                  <c:v>33.40138557609301</c:v>
                </c:pt>
                <c:pt idx="27">
                  <c:v>31.782414825921535</c:v>
                </c:pt>
                <c:pt idx="28">
                  <c:v>30.331864876053885</c:v>
                </c:pt>
                <c:pt idx="29">
                  <c:v>29.057357773243556</c:v>
                </c:pt>
                <c:pt idx="30">
                  <c:v>27.961519833555574</c:v>
                </c:pt>
                <c:pt idx="31">
                  <c:v>27.043468878281754</c:v>
                </c:pt>
                <c:pt idx="32">
                  <c:v>26.3002030569877</c:v>
                </c:pt>
                <c:pt idx="33">
                  <c:v>25.727783227191015</c:v>
                </c:pt>
                <c:pt idx="34">
                  <c:v>25.322265037184334</c:v>
                </c:pt>
                <c:pt idx="35">
                  <c:v>25.080381537925014</c:v>
                </c:pt>
                <c:pt idx="36">
                  <c:v>25</c:v>
                </c:pt>
                <c:pt idx="37">
                  <c:v>25.080381537925014</c:v>
                </c:pt>
                <c:pt idx="38">
                  <c:v>25.322265037184334</c:v>
                </c:pt>
                <c:pt idx="39">
                  <c:v>25.72778322719102</c:v>
                </c:pt>
                <c:pt idx="40">
                  <c:v>26.3002030569877</c:v>
                </c:pt>
                <c:pt idx="41">
                  <c:v>27.043468878281754</c:v>
                </c:pt>
                <c:pt idx="42">
                  <c:v>27.961519833555567</c:v>
                </c:pt>
                <c:pt idx="43">
                  <c:v>29.057357773243556</c:v>
                </c:pt>
                <c:pt idx="44">
                  <c:v>30.331864876053885</c:v>
                </c:pt>
                <c:pt idx="45">
                  <c:v>31.782414825921542</c:v>
                </c:pt>
                <c:pt idx="46">
                  <c:v>33.40138557609302</c:v>
                </c:pt>
                <c:pt idx="47">
                  <c:v>35.174752383936514</c:v>
                </c:pt>
                <c:pt idx="48">
                  <c:v>37.080992435478315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Calculation!$S$73</c:f>
              <c:strCache>
                <c:ptCount val="1"/>
                <c:pt idx="0">
                  <c:v>Pleuellage-K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Calculation!$V$75:$V$76</c:f>
              <c:numCache>
                <c:ptCount val="2"/>
                <c:pt idx="0">
                  <c:v>3.0123168116880264E-15</c:v>
                </c:pt>
                <c:pt idx="1">
                  <c:v>10.606601717798213</c:v>
                </c:pt>
              </c:numCache>
            </c:numRef>
          </c:xVal>
          <c:yVal>
            <c:numRef>
              <c:f>Calculation!$W$75:$W$76</c:f>
              <c:numCache>
                <c:ptCount val="2"/>
                <c:pt idx="0">
                  <c:v>49.174723269152</c:v>
                </c:pt>
                <c:pt idx="1">
                  <c:v>10.606601717798211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Calculation!$X$78:$X$79</c:f>
              <c:numCache>
                <c:ptCount val="2"/>
                <c:pt idx="0">
                  <c:v>-5.51316804708879E-15</c:v>
                </c:pt>
                <c:pt idx="1">
                  <c:v>5.51316804708879E-15</c:v>
                </c:pt>
              </c:numCache>
            </c:numRef>
          </c:xVal>
          <c:yVal>
            <c:numRef>
              <c:f>Calculation!$Y$78:$Y$79</c:f>
              <c:numCache>
                <c:ptCount val="2"/>
                <c:pt idx="0">
                  <c:v>-90</c:v>
                </c:pt>
                <c:pt idx="1">
                  <c:v>90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Calculation!$X$73</c:f>
              <c:strCache>
                <c:ptCount val="1"/>
                <c:pt idx="0">
                  <c:v>Kolbenstange-K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Calculation!$X$75:$X$76</c:f>
              <c:numCache>
                <c:ptCount val="2"/>
                <c:pt idx="0">
                  <c:v>3.9311781528694915E-15</c:v>
                </c:pt>
                <c:pt idx="1">
                  <c:v>3.0123168116880264E-15</c:v>
                </c:pt>
              </c:numCache>
            </c:numRef>
          </c:xVal>
          <c:yVal>
            <c:numRef>
              <c:f>Calculation!$Y$75:$Y$76</c:f>
              <c:numCache>
                <c:ptCount val="2"/>
                <c:pt idx="0">
                  <c:v>64.174723269152</c:v>
                </c:pt>
                <c:pt idx="1">
                  <c:v>49.174723269152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Calculation!$X$81</c:f>
              <c:numCache>
                <c:ptCount val="1"/>
                <c:pt idx="0">
                  <c:v>3.9311781528694915E-15</c:v>
                </c:pt>
              </c:numCache>
            </c:numRef>
          </c:xVal>
          <c:yVal>
            <c:numRef>
              <c:f>Calculation!$Y$81</c:f>
              <c:numCache>
                <c:ptCount val="1"/>
                <c:pt idx="0">
                  <c:v>64.174723269152</c:v>
                </c:pt>
              </c:numCache>
            </c:numRef>
          </c:yVal>
          <c:smooth val="1"/>
        </c:ser>
        <c:axId val="16761043"/>
        <c:axId val="16566968"/>
      </c:scatterChart>
      <c:valAx>
        <c:axId val="16761043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1167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3300"/>
                </a:solidFill>
              </a:defRPr>
            </a:pPr>
          </a:p>
        </c:txPr>
        <c:crossAx val="16566968"/>
        <c:crosses val="autoZero"/>
        <c:crossBetween val="midCat"/>
        <c:dispUnits/>
        <c:majorUnit val="10"/>
        <c:minorUnit val="5"/>
      </c:valAx>
      <c:valAx>
        <c:axId val="16566968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1097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761043"/>
        <c:crosses val="autoZero"/>
        <c:crossBetween val="midCat"/>
        <c:dispUnits/>
        <c:majorUnit val="10"/>
        <c:minorUnit val="5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Dimensionsloser Kolbenweg des Stirlingmotors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5"/>
          <c:w val="0.954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Calculation!$M$16</c:f>
              <c:strCache>
                <c:ptCount val="1"/>
                <c:pt idx="0">
                  <c:v>Kolbenweg-W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Calculation!$C$18:$C$66</c:f>
              <c:numCache>
                <c:ptCount val="4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  <c:pt idx="9">
                  <c:v>67.5</c:v>
                </c:pt>
                <c:pt idx="10">
                  <c:v>75</c:v>
                </c:pt>
                <c:pt idx="11">
                  <c:v>82.5</c:v>
                </c:pt>
                <c:pt idx="12">
                  <c:v>90</c:v>
                </c:pt>
                <c:pt idx="13">
                  <c:v>97.5</c:v>
                </c:pt>
                <c:pt idx="14">
                  <c:v>105</c:v>
                </c:pt>
                <c:pt idx="15">
                  <c:v>112.5</c:v>
                </c:pt>
                <c:pt idx="16">
                  <c:v>120</c:v>
                </c:pt>
                <c:pt idx="17">
                  <c:v>127.5</c:v>
                </c:pt>
                <c:pt idx="18">
                  <c:v>135</c:v>
                </c:pt>
                <c:pt idx="19">
                  <c:v>142.5</c:v>
                </c:pt>
                <c:pt idx="20">
                  <c:v>150</c:v>
                </c:pt>
                <c:pt idx="21">
                  <c:v>157.5</c:v>
                </c:pt>
                <c:pt idx="22">
                  <c:v>165</c:v>
                </c:pt>
                <c:pt idx="23">
                  <c:v>172.5</c:v>
                </c:pt>
                <c:pt idx="24">
                  <c:v>180</c:v>
                </c:pt>
                <c:pt idx="25">
                  <c:v>187.5</c:v>
                </c:pt>
                <c:pt idx="26">
                  <c:v>195</c:v>
                </c:pt>
                <c:pt idx="27">
                  <c:v>202.5</c:v>
                </c:pt>
                <c:pt idx="28">
                  <c:v>210</c:v>
                </c:pt>
                <c:pt idx="29">
                  <c:v>217.5</c:v>
                </c:pt>
                <c:pt idx="30">
                  <c:v>225</c:v>
                </c:pt>
                <c:pt idx="31">
                  <c:v>232.5</c:v>
                </c:pt>
                <c:pt idx="32">
                  <c:v>240</c:v>
                </c:pt>
                <c:pt idx="33">
                  <c:v>247.5</c:v>
                </c:pt>
                <c:pt idx="34">
                  <c:v>255</c:v>
                </c:pt>
                <c:pt idx="35">
                  <c:v>262.5</c:v>
                </c:pt>
                <c:pt idx="36">
                  <c:v>270</c:v>
                </c:pt>
                <c:pt idx="37">
                  <c:v>277.5</c:v>
                </c:pt>
                <c:pt idx="38">
                  <c:v>285</c:v>
                </c:pt>
                <c:pt idx="39">
                  <c:v>292.5</c:v>
                </c:pt>
                <c:pt idx="40">
                  <c:v>300</c:v>
                </c:pt>
                <c:pt idx="41">
                  <c:v>307.5</c:v>
                </c:pt>
                <c:pt idx="42">
                  <c:v>315</c:v>
                </c:pt>
                <c:pt idx="43">
                  <c:v>322.5</c:v>
                </c:pt>
                <c:pt idx="44">
                  <c:v>330</c:v>
                </c:pt>
                <c:pt idx="45">
                  <c:v>337.5</c:v>
                </c:pt>
                <c:pt idx="46">
                  <c:v>345</c:v>
                </c:pt>
                <c:pt idx="47">
                  <c:v>352.5</c:v>
                </c:pt>
                <c:pt idx="48">
                  <c:v>360</c:v>
                </c:pt>
              </c:numCache>
            </c:numRef>
          </c:xVal>
          <c:yVal>
            <c:numRef>
              <c:f>Calculation!$N$18:$N$66</c:f>
              <c:numCache>
                <c:ptCount val="49"/>
                <c:pt idx="0">
                  <c:v>2</c:v>
                </c:pt>
                <c:pt idx="1">
                  <c:v>1.9882484919426213</c:v>
                </c:pt>
                <c:pt idx="2">
                  <c:v>1.9533359883904253</c:v>
                </c:pt>
                <c:pt idx="3">
                  <c:v>1.8962779468353081</c:v>
                </c:pt>
                <c:pt idx="4">
                  <c:v>1.8187310113680573</c:v>
                </c:pt>
                <c:pt idx="5">
                  <c:v>1.7229379391345867</c:v>
                </c:pt>
                <c:pt idx="6">
                  <c:v>1.6116482179434664</c:v>
                </c:pt>
                <c:pt idx="7">
                  <c:v>1.4880133762336787</c:v>
                </c:pt>
                <c:pt idx="8">
                  <c:v>1.355457658403593</c:v>
                </c:pt>
                <c:pt idx="9">
                  <c:v>1.2175278531249485</c:v>
                </c:pt>
                <c:pt idx="10">
                  <c:v>1.0777304619445762</c:v>
                </c:pt>
                <c:pt idx="11">
                  <c:v>0.9393692100358706</c:v>
                </c:pt>
                <c:pt idx="12">
                  <c:v>0.8053994956985543</c:v>
                </c:pt>
                <c:pt idx="13">
                  <c:v>0.6783168255957677</c:v>
                </c:pt>
                <c:pt idx="14">
                  <c:v>0.5600923717395346</c:v>
                </c:pt>
                <c:pt idx="15">
                  <c:v>0.45216098839476876</c:v>
                </c:pt>
                <c:pt idx="16">
                  <c:v>0.35545765840359306</c:v>
                </c:pt>
                <c:pt idx="17">
                  <c:v>0.2704905182162373</c:v>
                </c:pt>
                <c:pt idx="18">
                  <c:v>0.19743465557037135</c:v>
                </c:pt>
                <c:pt idx="19">
                  <c:v>0.13623125855211668</c:v>
                </c:pt>
                <c:pt idx="20">
                  <c:v>0.08668020379917986</c:v>
                </c:pt>
                <c:pt idx="21">
                  <c:v>0.04851888181273433</c:v>
                </c:pt>
                <c:pt idx="22">
                  <c:v>0.02148433581228867</c:v>
                </c:pt>
                <c:pt idx="23">
                  <c:v>0.005358769195000927</c:v>
                </c:pt>
                <c:pt idx="24">
                  <c:v>0</c:v>
                </c:pt>
                <c:pt idx="25">
                  <c:v>0.00535876919500069</c:v>
                </c:pt>
                <c:pt idx="26">
                  <c:v>0.02148433581228867</c:v>
                </c:pt>
                <c:pt idx="27">
                  <c:v>0.048518881812734095</c:v>
                </c:pt>
                <c:pt idx="28">
                  <c:v>0.08668020379917986</c:v>
                </c:pt>
                <c:pt idx="29">
                  <c:v>0.13623125855211668</c:v>
                </c:pt>
                <c:pt idx="30">
                  <c:v>0.19743465557037135</c:v>
                </c:pt>
                <c:pt idx="31">
                  <c:v>0.2704905182162373</c:v>
                </c:pt>
                <c:pt idx="32">
                  <c:v>0.35545765840359234</c:v>
                </c:pt>
                <c:pt idx="33">
                  <c:v>0.452160988394769</c:v>
                </c:pt>
                <c:pt idx="34">
                  <c:v>0.5600923717395346</c:v>
                </c:pt>
                <c:pt idx="35">
                  <c:v>0.6783168255957677</c:v>
                </c:pt>
                <c:pt idx="36">
                  <c:v>0.8053994956985543</c:v>
                </c:pt>
                <c:pt idx="37">
                  <c:v>0.9393692100358706</c:v>
                </c:pt>
                <c:pt idx="38">
                  <c:v>1.0777304619445758</c:v>
                </c:pt>
                <c:pt idx="39">
                  <c:v>1.2175278531249485</c:v>
                </c:pt>
                <c:pt idx="40">
                  <c:v>1.355457658403593</c:v>
                </c:pt>
                <c:pt idx="41">
                  <c:v>1.4880133762336782</c:v>
                </c:pt>
                <c:pt idx="42">
                  <c:v>1.6116482179434664</c:v>
                </c:pt>
                <c:pt idx="43">
                  <c:v>1.7229379391345867</c:v>
                </c:pt>
                <c:pt idx="44">
                  <c:v>1.8187310113680573</c:v>
                </c:pt>
                <c:pt idx="45">
                  <c:v>1.8962779468353081</c:v>
                </c:pt>
                <c:pt idx="46">
                  <c:v>1.9533359883904253</c:v>
                </c:pt>
                <c:pt idx="47">
                  <c:v>1.9882484919426213</c:v>
                </c:pt>
                <c:pt idx="48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Calculation!$M$73</c:f>
              <c:strCache>
                <c:ptCount val="1"/>
                <c:pt idx="0">
                  <c:v>Kolbenlauf-W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Calculation!$N$75</c:f>
              <c:numCache>
                <c:ptCount val="1"/>
                <c:pt idx="0">
                  <c:v>1.6116482179434664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Calculation!$Z$16</c:f>
              <c:strCache>
                <c:ptCount val="1"/>
                <c:pt idx="0">
                  <c:v>Kolbenweg-K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Calculation!$C$18:$C$66</c:f>
              <c:numCache>
                <c:ptCount val="4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  <c:pt idx="9">
                  <c:v>67.5</c:v>
                </c:pt>
                <c:pt idx="10">
                  <c:v>75</c:v>
                </c:pt>
                <c:pt idx="11">
                  <c:v>82.5</c:v>
                </c:pt>
                <c:pt idx="12">
                  <c:v>90</c:v>
                </c:pt>
                <c:pt idx="13">
                  <c:v>97.5</c:v>
                </c:pt>
                <c:pt idx="14">
                  <c:v>105</c:v>
                </c:pt>
                <c:pt idx="15">
                  <c:v>112.5</c:v>
                </c:pt>
                <c:pt idx="16">
                  <c:v>120</c:v>
                </c:pt>
                <c:pt idx="17">
                  <c:v>127.5</c:v>
                </c:pt>
                <c:pt idx="18">
                  <c:v>135</c:v>
                </c:pt>
                <c:pt idx="19">
                  <c:v>142.5</c:v>
                </c:pt>
                <c:pt idx="20">
                  <c:v>150</c:v>
                </c:pt>
                <c:pt idx="21">
                  <c:v>157.5</c:v>
                </c:pt>
                <c:pt idx="22">
                  <c:v>165</c:v>
                </c:pt>
                <c:pt idx="23">
                  <c:v>172.5</c:v>
                </c:pt>
                <c:pt idx="24">
                  <c:v>180</c:v>
                </c:pt>
                <c:pt idx="25">
                  <c:v>187.5</c:v>
                </c:pt>
                <c:pt idx="26">
                  <c:v>195</c:v>
                </c:pt>
                <c:pt idx="27">
                  <c:v>202.5</c:v>
                </c:pt>
                <c:pt idx="28">
                  <c:v>210</c:v>
                </c:pt>
                <c:pt idx="29">
                  <c:v>217.5</c:v>
                </c:pt>
                <c:pt idx="30">
                  <c:v>225</c:v>
                </c:pt>
                <c:pt idx="31">
                  <c:v>232.5</c:v>
                </c:pt>
                <c:pt idx="32">
                  <c:v>240</c:v>
                </c:pt>
                <c:pt idx="33">
                  <c:v>247.5</c:v>
                </c:pt>
                <c:pt idx="34">
                  <c:v>255</c:v>
                </c:pt>
                <c:pt idx="35">
                  <c:v>262.5</c:v>
                </c:pt>
                <c:pt idx="36">
                  <c:v>270</c:v>
                </c:pt>
                <c:pt idx="37">
                  <c:v>277.5</c:v>
                </c:pt>
                <c:pt idx="38">
                  <c:v>285</c:v>
                </c:pt>
                <c:pt idx="39">
                  <c:v>292.5</c:v>
                </c:pt>
                <c:pt idx="40">
                  <c:v>300</c:v>
                </c:pt>
                <c:pt idx="41">
                  <c:v>307.5</c:v>
                </c:pt>
                <c:pt idx="42">
                  <c:v>315</c:v>
                </c:pt>
                <c:pt idx="43">
                  <c:v>322.5</c:v>
                </c:pt>
                <c:pt idx="44">
                  <c:v>330</c:v>
                </c:pt>
                <c:pt idx="45">
                  <c:v>337.5</c:v>
                </c:pt>
                <c:pt idx="46">
                  <c:v>345</c:v>
                </c:pt>
                <c:pt idx="47">
                  <c:v>352.5</c:v>
                </c:pt>
                <c:pt idx="48">
                  <c:v>360</c:v>
                </c:pt>
              </c:numCache>
            </c:numRef>
          </c:xVal>
          <c:yVal>
            <c:numRef>
              <c:f>Calculation!$AA$18:$AA$66</c:f>
              <c:numCache>
                <c:ptCount val="49"/>
                <c:pt idx="0">
                  <c:v>0.8053994956985543</c:v>
                </c:pt>
                <c:pt idx="1">
                  <c:v>0.939369210035871</c:v>
                </c:pt>
                <c:pt idx="2">
                  <c:v>1.0777304619445758</c:v>
                </c:pt>
                <c:pt idx="3">
                  <c:v>1.217527853124949</c:v>
                </c:pt>
                <c:pt idx="4">
                  <c:v>1.355457658403593</c:v>
                </c:pt>
                <c:pt idx="5">
                  <c:v>1.4880133762336787</c:v>
                </c:pt>
                <c:pt idx="6">
                  <c:v>1.6116482179434664</c:v>
                </c:pt>
                <c:pt idx="7">
                  <c:v>1.7229379391345867</c:v>
                </c:pt>
                <c:pt idx="8">
                  <c:v>1.8187310113680573</c:v>
                </c:pt>
                <c:pt idx="9">
                  <c:v>1.8962779468353081</c:v>
                </c:pt>
                <c:pt idx="10">
                  <c:v>1.9533359883904258</c:v>
                </c:pt>
                <c:pt idx="11">
                  <c:v>1.9882484919426218</c:v>
                </c:pt>
                <c:pt idx="12">
                  <c:v>2</c:v>
                </c:pt>
                <c:pt idx="13">
                  <c:v>1.9882484919426218</c:v>
                </c:pt>
                <c:pt idx="14">
                  <c:v>1.9533359883904258</c:v>
                </c:pt>
                <c:pt idx="15">
                  <c:v>1.8962779468353081</c:v>
                </c:pt>
                <c:pt idx="16">
                  <c:v>1.8187310113680573</c:v>
                </c:pt>
                <c:pt idx="17">
                  <c:v>1.7229379391345867</c:v>
                </c:pt>
                <c:pt idx="18">
                  <c:v>1.6116482179434664</c:v>
                </c:pt>
                <c:pt idx="19">
                  <c:v>1.4880133762336787</c:v>
                </c:pt>
                <c:pt idx="20">
                  <c:v>1.355457658403593</c:v>
                </c:pt>
                <c:pt idx="21">
                  <c:v>1.217527853124949</c:v>
                </c:pt>
                <c:pt idx="22">
                  <c:v>1.0777304619445762</c:v>
                </c:pt>
                <c:pt idx="23">
                  <c:v>0.9393692100358706</c:v>
                </c:pt>
                <c:pt idx="24">
                  <c:v>0.8053994956985543</c:v>
                </c:pt>
                <c:pt idx="25">
                  <c:v>0.6783168255957681</c:v>
                </c:pt>
                <c:pt idx="26">
                  <c:v>0.5600923717395342</c:v>
                </c:pt>
                <c:pt idx="27">
                  <c:v>0.452160988394769</c:v>
                </c:pt>
                <c:pt idx="28">
                  <c:v>0.35545765840359234</c:v>
                </c:pt>
                <c:pt idx="29">
                  <c:v>0.27049051821623704</c:v>
                </c:pt>
                <c:pt idx="30">
                  <c:v>0.1974346555703716</c:v>
                </c:pt>
                <c:pt idx="31">
                  <c:v>0.13623125855211693</c:v>
                </c:pt>
                <c:pt idx="32">
                  <c:v>0.0866802037991801</c:v>
                </c:pt>
                <c:pt idx="33">
                  <c:v>0.04851888181273433</c:v>
                </c:pt>
                <c:pt idx="34">
                  <c:v>0.02148433581228891</c:v>
                </c:pt>
                <c:pt idx="35">
                  <c:v>0.005358769195000927</c:v>
                </c:pt>
                <c:pt idx="36">
                  <c:v>0</c:v>
                </c:pt>
                <c:pt idx="37">
                  <c:v>0.005358769195000927</c:v>
                </c:pt>
                <c:pt idx="38">
                  <c:v>0.02148433581228891</c:v>
                </c:pt>
                <c:pt idx="39">
                  <c:v>0.04851888181273457</c:v>
                </c:pt>
                <c:pt idx="40">
                  <c:v>0.0866802037991801</c:v>
                </c:pt>
                <c:pt idx="41">
                  <c:v>0.13623125855211693</c:v>
                </c:pt>
                <c:pt idx="42">
                  <c:v>0.19743465557037113</c:v>
                </c:pt>
                <c:pt idx="43">
                  <c:v>0.27049051821623704</c:v>
                </c:pt>
                <c:pt idx="44">
                  <c:v>0.35545765840359234</c:v>
                </c:pt>
                <c:pt idx="45">
                  <c:v>0.4521609883947695</c:v>
                </c:pt>
                <c:pt idx="46">
                  <c:v>0.5600923717395346</c:v>
                </c:pt>
                <c:pt idx="47">
                  <c:v>0.6783168255957677</c:v>
                </c:pt>
                <c:pt idx="48">
                  <c:v>0.8053994956985543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Calculation!$Z$73</c:f>
              <c:strCache>
                <c:ptCount val="1"/>
                <c:pt idx="0">
                  <c:v>Kolbenlauf-K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Calculation!$AA$75</c:f>
              <c:numCache>
                <c:ptCount val="1"/>
                <c:pt idx="0">
                  <c:v>1.6116482179434664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Calculation!$AB$73</c:f>
              <c:strCache>
                <c:ptCount val="1"/>
                <c:pt idx="0">
                  <c:v>Nachlauf 90°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Calculation!$AB$75</c:f>
              <c:numCache>
                <c:ptCount val="1"/>
                <c:pt idx="0">
                  <c:v>-45</c:v>
                </c:pt>
              </c:numCache>
            </c:numRef>
          </c:xVal>
          <c:yVal>
            <c:numRef>
              <c:f>Calculation!$AC$75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Calculation!$P$73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Calculation!$P$75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Calculation!$R$76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4043993"/>
        <c:axId val="48354182"/>
      </c:scatterChart>
      <c:valAx>
        <c:axId val="14043993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Kurbelwinkel  - Warm [-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\°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182"/>
        <c:crosses val="autoZero"/>
        <c:crossBetween val="midCat"/>
        <c:dispUnits/>
        <c:majorUnit val="90"/>
        <c:minorUnit val="15"/>
      </c:valAx>
      <c:valAx>
        <c:axId val="48354182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Kolbenweg  [-]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3993"/>
        <c:crosses val="autoZero"/>
        <c:crossBetween val="midCat"/>
        <c:dispUnits/>
        <c:majorUnit val="0.5"/>
        <c:minorUnit val="0.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32575"/>
          <c:w val="0.18675"/>
          <c:h val="0.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dimesionslose Kolbenbewegung
warm-rot,   kalt-blau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03"/>
          <c:w val="0.72825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Calculation!$N$77</c:f>
              <c:strCache>
                <c:ptCount val="1"/>
                <c:pt idx="0">
                  <c:v>Zyl-W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AA8866"/>
                </a:gs>
              </a:gsLst>
              <a:path path="rect">
                <a:fillToRect l="50000" t="50000" r="50000" b="50000"/>
              </a:path>
            </a:gra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1E7777"/>
                  </a:gs>
                </a:gsLst>
                <a:path path="rect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(Calculation!$N$78,Calculation!$AA$78)</c:f>
              <c:numCache>
                <c:ptCount val="2"/>
                <c:pt idx="0">
                  <c:v>0.38835178205653365</c:v>
                </c:pt>
                <c:pt idx="1">
                  <c:v>0.38835178205653365</c:v>
                </c:pt>
              </c:numCache>
            </c:numRef>
          </c:val>
        </c:ser>
        <c:ser>
          <c:idx val="1"/>
          <c:order val="1"/>
          <c:tx>
            <c:strRef>
              <c:f>Calculation!$AA$77</c:f>
              <c:strCache>
                <c:ptCount val="1"/>
                <c:pt idx="0">
                  <c:v>Zyl-K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(Calculation!$N$79,Calculation!$AA$79)</c:f>
              <c:numCache>
                <c:ptCount val="2"/>
                <c:pt idx="0">
                  <c:v>1.6116482179434664</c:v>
                </c:pt>
                <c:pt idx="1">
                  <c:v>1.6116482179434664</c:v>
                </c:pt>
              </c:numCache>
            </c:numRef>
          </c:val>
        </c:ser>
        <c:overlap val="100"/>
        <c:gapWidth val="20"/>
        <c:axId val="24624591"/>
        <c:axId val="51684228"/>
      </c:barChart>
      <c:catAx>
        <c:axId val="2462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4228"/>
        <c:crosses val="autoZero"/>
        <c:auto val="1"/>
        <c:lblOffset val="100"/>
        <c:tickLblSkip val="1"/>
        <c:noMultiLvlLbl val="0"/>
      </c:catAx>
      <c:valAx>
        <c:axId val="51684228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4624591"/>
        <c:crossesAt val="1"/>
        <c:crossBetween val="between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357"/>
          <c:w val="0.0882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Kinematik des einfachen Stirlingmotors
warm-rot,  kalt-blau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4"/>
          <c:w val="0.9565"/>
          <c:h val="0.82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Calculation!$D$16</c:f>
              <c:strCache>
                <c:ptCount val="1"/>
                <c:pt idx="0">
                  <c:v>Kurbelkreis-W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Calculation!$D$18:$D$66</c:f>
              <c:numCache/>
            </c:numRef>
          </c:xVal>
          <c:yVal>
            <c:numRef>
              <c:f>Calculation!$E$18:$E$66</c:f>
              <c:numCache/>
            </c:numRef>
          </c:yVal>
          <c:smooth val="1"/>
        </c:ser>
        <c:ser>
          <c:idx val="1"/>
          <c:order val="1"/>
          <c:tx>
            <c:strRef>
              <c:f>Calculation!$D$73</c:f>
              <c:strCache>
                <c:ptCount val="1"/>
                <c:pt idx="0">
                  <c:v>Kurbellage-W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Calculation!$D$75:$D$76</c:f>
              <c:numCache/>
            </c:numRef>
          </c:xVal>
          <c:yVal>
            <c:numRef>
              <c:f>Calculation!$E$75:$E$76</c:f>
              <c:numCache/>
            </c:numRef>
          </c:yVal>
          <c:smooth val="1"/>
        </c:ser>
        <c:ser>
          <c:idx val="2"/>
          <c:order val="2"/>
          <c:tx>
            <c:strRef>
              <c:f>Calculation!$F$73</c:f>
              <c:strCache>
                <c:ptCount val="1"/>
                <c:pt idx="0">
                  <c:v>Pleuellage-W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Calculation!$I$75:$I$76</c:f>
              <c:numCache/>
            </c:numRef>
          </c:xVal>
          <c:yVal>
            <c:numRef>
              <c:f>Calculation!$J$75:$J$76</c:f>
              <c:numCache/>
            </c:numRef>
          </c:yVal>
          <c:smooth val="1"/>
        </c:ser>
        <c:ser>
          <c:idx val="3"/>
          <c:order val="3"/>
          <c:tx>
            <c:strRef>
              <c:f>Calculation!$K$16</c:f>
              <c:strCache>
                <c:ptCount val="1"/>
                <c:pt idx="0">
                  <c:v>Kolben -W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Calculation!$I$18:$I$66</c:f>
              <c:numCache/>
            </c:numRef>
          </c:xVal>
          <c:yVal>
            <c:numRef>
              <c:f>Calculation!$J$18:$J$66</c:f>
              <c:numCache/>
            </c:numRef>
          </c:yVal>
          <c:smooth val="1"/>
        </c:ser>
        <c:ser>
          <c:idx val="4"/>
          <c:order val="4"/>
          <c:tx>
            <c:strRef>
              <c:f>Calculation!$K$73</c:f>
              <c:strCache>
                <c:ptCount val="1"/>
                <c:pt idx="0">
                  <c:v>Kolbenstange-W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Calculation!$K$75:$K$76</c:f>
              <c:numCache/>
            </c:numRef>
          </c:xVal>
          <c:yVal>
            <c:numRef>
              <c:f>Calculation!$L$75:$L$76</c:f>
              <c:numCache/>
            </c:numRef>
          </c:yVal>
          <c:smooth val="1"/>
        </c:ser>
        <c:ser>
          <c:idx val="5"/>
          <c:order val="5"/>
          <c:tx>
            <c:strRef>
              <c:f>Calculation!$K$77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Calculation!$K$78:$K$79</c:f>
              <c:numCache/>
            </c:numRef>
          </c:xVal>
          <c:yVal>
            <c:numRef>
              <c:f>Calculation!$L$78:$L$79</c:f>
              <c:numCache/>
            </c:numRef>
          </c:yVal>
          <c:smooth val="1"/>
        </c:ser>
        <c:ser>
          <c:idx val="6"/>
          <c:order val="6"/>
          <c:tx>
            <c:strRef>
              <c:f>Calculation!$K$80</c:f>
              <c:strCache>
                <c:ptCount val="1"/>
                <c:pt idx="0">
                  <c:v>Kolbenpkt.-W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Calculation!$K$81</c:f>
              <c:numCache/>
            </c:numRef>
          </c:xVal>
          <c:yVal>
            <c:numRef>
              <c:f>Calculation!$L$81</c:f>
              <c:numCache/>
            </c:numRef>
          </c:yVal>
          <c:smooth val="1"/>
        </c:ser>
        <c:ser>
          <c:idx val="7"/>
          <c:order val="7"/>
          <c:tx>
            <c:strRef>
              <c:f>Calculation!$P$16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Calculation!$Q$18:$Q$66</c:f>
              <c:numCache/>
            </c:numRef>
          </c:xVal>
          <c:yVal>
            <c:numRef>
              <c:f>Calculation!$R$18:$R$66</c:f>
              <c:numCache/>
            </c:numRef>
          </c:yVal>
          <c:smooth val="1"/>
        </c:ser>
        <c:ser>
          <c:idx val="8"/>
          <c:order val="8"/>
          <c:tx>
            <c:strRef>
              <c:f>Calculation!$P$73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Calculation!$Q$75:$Q$76</c:f>
              <c:numCache/>
            </c:numRef>
          </c:xVal>
          <c:yVal>
            <c:numRef>
              <c:f>Calculation!$R$75:$R$76</c:f>
              <c:numCache/>
            </c:numRef>
          </c:yVal>
          <c:smooth val="1"/>
        </c:ser>
        <c:ser>
          <c:idx val="9"/>
          <c:order val="9"/>
          <c:tx>
            <c:strRef>
              <c:f>Calculation!$S$16</c:f>
              <c:strCache>
                <c:ptCount val="1"/>
                <c:pt idx="0">
                  <c:v>Pleuelbahn-K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Calculation!$V$18:$V$66</c:f>
              <c:numCache/>
            </c:numRef>
          </c:xVal>
          <c:yVal>
            <c:numRef>
              <c:f>Calculation!$W$18:$W$66</c:f>
              <c:numCache/>
            </c:numRef>
          </c:yVal>
          <c:smooth val="1"/>
        </c:ser>
        <c:ser>
          <c:idx val="10"/>
          <c:order val="10"/>
          <c:tx>
            <c:strRef>
              <c:f>Calculation!$S$73</c:f>
              <c:strCache>
                <c:ptCount val="1"/>
                <c:pt idx="0">
                  <c:v>Pleuellage-K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Calculation!$V$75:$V$76</c:f>
              <c:numCache/>
            </c:numRef>
          </c:xVal>
          <c:yVal>
            <c:numRef>
              <c:f>Calculation!$W$75:$W$76</c:f>
              <c:numCache/>
            </c:numRef>
          </c:yVal>
          <c:smooth val="1"/>
        </c:ser>
        <c:ser>
          <c:idx val="11"/>
          <c:order val="11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Calculation!$X$78:$X$79</c:f>
              <c:numCache/>
            </c:numRef>
          </c:xVal>
          <c:yVal>
            <c:numRef>
              <c:f>Calculation!$Y$78:$Y$79</c:f>
              <c:numCache/>
            </c:numRef>
          </c:yVal>
          <c:smooth val="1"/>
        </c:ser>
        <c:ser>
          <c:idx val="12"/>
          <c:order val="12"/>
          <c:tx>
            <c:strRef>
              <c:f>Calculation!$X$73</c:f>
              <c:strCache>
                <c:ptCount val="1"/>
                <c:pt idx="0">
                  <c:v>Kolbenstange-K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Calculation!$X$75:$X$76</c:f>
              <c:numCache/>
            </c:numRef>
          </c:xVal>
          <c:yVal>
            <c:numRef>
              <c:f>Calculation!$Y$75:$Y$76</c:f>
              <c:numCache/>
            </c:numRef>
          </c:yVal>
          <c:smooth val="1"/>
        </c:ser>
        <c:ser>
          <c:idx val="13"/>
          <c:order val="13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Calculation!$X$81</c:f>
              <c:numCache/>
            </c:numRef>
          </c:xVal>
          <c:yVal>
            <c:numRef>
              <c:f>Calculation!$Y$81</c:f>
              <c:numCache/>
            </c:numRef>
          </c:yVal>
          <c:smooth val="1"/>
        </c:ser>
        <c:axId val="806325"/>
        <c:axId val="10482226"/>
      </c:scatterChart>
      <c:valAx>
        <c:axId val="806325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3300"/>
                </a:solidFill>
              </a:defRPr>
            </a:pPr>
          </a:p>
        </c:txPr>
        <c:crossAx val="10482226"/>
        <c:crosses val="autoZero"/>
        <c:crossBetween val="midCat"/>
        <c:dispUnits/>
        <c:majorUnit val="10"/>
        <c:minorUnit val="5"/>
      </c:valAx>
      <c:valAx>
        <c:axId val="10482226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108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806325"/>
        <c:crosses val="autoZero"/>
        <c:crossBetween val="midCat"/>
        <c:dispUnits/>
        <c:majorUnit val="10"/>
        <c:min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828"/>
          <c:w val="0.94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Dimensionsloser Kolbenweg des Stirlingmotors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475"/>
          <c:w val="0.9095"/>
          <c:h val="0.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Calculation!$M$16</c:f>
              <c:strCache>
                <c:ptCount val="1"/>
                <c:pt idx="0">
                  <c:v>Kolbenweg-W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Calculation!$C$18:$C$66</c:f>
              <c:numCache/>
            </c:numRef>
          </c:xVal>
          <c:yVal>
            <c:numRef>
              <c:f>Calculation!$N$18:$N$66</c:f>
              <c:numCache/>
            </c:numRef>
          </c:yVal>
          <c:smooth val="1"/>
        </c:ser>
        <c:ser>
          <c:idx val="1"/>
          <c:order val="1"/>
          <c:tx>
            <c:strRef>
              <c:f>Calculation!$M$73</c:f>
              <c:strCache>
                <c:ptCount val="1"/>
                <c:pt idx="0">
                  <c:v>Kolbenlauf-W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/>
            </c:numRef>
          </c:xVal>
          <c:yVal>
            <c:numRef>
              <c:f>Calculation!$N$75</c:f>
              <c:numCache/>
            </c:numRef>
          </c:yVal>
          <c:smooth val="1"/>
        </c:ser>
        <c:ser>
          <c:idx val="2"/>
          <c:order val="2"/>
          <c:tx>
            <c:strRef>
              <c:f>Calculation!$Z$16</c:f>
              <c:strCache>
                <c:ptCount val="1"/>
                <c:pt idx="0">
                  <c:v>Kolbenweg-K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Calculation!$C$18:$C$66</c:f>
              <c:numCache/>
            </c:numRef>
          </c:xVal>
          <c:yVal>
            <c:numRef>
              <c:f>Calculation!$AA$18:$AA$66</c:f>
              <c:numCache/>
            </c:numRef>
          </c:yVal>
          <c:smooth val="1"/>
        </c:ser>
        <c:ser>
          <c:idx val="3"/>
          <c:order val="3"/>
          <c:tx>
            <c:strRef>
              <c:f>Calculation!$Z$73</c:f>
              <c:strCache>
                <c:ptCount val="1"/>
                <c:pt idx="0">
                  <c:v>Kolbenlauf-K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/>
            </c:numRef>
          </c:xVal>
          <c:yVal>
            <c:numRef>
              <c:f>Calculation!$AA$75</c:f>
              <c:numCache/>
            </c:numRef>
          </c:yVal>
          <c:smooth val="1"/>
        </c:ser>
        <c:ser>
          <c:idx val="4"/>
          <c:order val="4"/>
          <c:tx>
            <c:strRef>
              <c:f>Calculation!$AB$73</c:f>
              <c:strCache>
                <c:ptCount val="1"/>
                <c:pt idx="0">
                  <c:v>Nachlauf 90°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Calculation!$AB$75</c:f>
              <c:numCache/>
            </c:numRef>
          </c:xVal>
          <c:yVal>
            <c:numRef>
              <c:f>Calculation!$AC$75</c:f>
              <c:numCache/>
            </c:numRef>
          </c:yVal>
          <c:smooth val="1"/>
        </c:ser>
        <c:axId val="2051211"/>
        <c:axId val="26665744"/>
      </c:scatterChart>
      <c:valAx>
        <c:axId val="2051211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Kurbelwinkel  [-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\°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5744"/>
        <c:crosses val="autoZero"/>
        <c:crossBetween val="midCat"/>
        <c:dispUnits/>
        <c:majorUnit val="90"/>
        <c:minorUnit val="15"/>
      </c:valAx>
      <c:valAx>
        <c:axId val="26665744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Kolbenweg  [-]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211"/>
        <c:crosses val="autoZero"/>
        <c:crossBetween val="midCat"/>
        <c:dispUnits/>
        <c:majorUnit val="0.5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4"/>
          <c:w val="0.967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dimesionslose Kolbenbewegung
waorm-rot,   kalt-blau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115"/>
          <c:w val="0.852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Calculation!$N$77</c:f>
              <c:strCache>
                <c:ptCount val="1"/>
                <c:pt idx="0">
                  <c:v>Zyl-W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AA8866"/>
                </a:gs>
              </a:gsLst>
              <a:path path="rect">
                <a:fillToRect l="50000" t="50000" r="50000" b="50000"/>
              </a:path>
            </a:gra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2AA9A9"/>
                  </a:gs>
                </a:gsLst>
                <a:path path="rect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(Calculation!$N$78,Calculation!$AA$78)</c:f>
              <c:numCache/>
            </c:numRef>
          </c:val>
        </c:ser>
        <c:ser>
          <c:idx val="1"/>
          <c:order val="1"/>
          <c:tx>
            <c:strRef>
              <c:f>Calculation!$AA$77</c:f>
              <c:strCache>
                <c:ptCount val="1"/>
                <c:pt idx="0">
                  <c:v>Zyl-K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(Calculation!$N$79,Calculation!$AA$79)</c:f>
              <c:numCache/>
            </c:numRef>
          </c:val>
        </c:ser>
        <c:overlap val="100"/>
        <c:axId val="11110353"/>
        <c:axId val="10216862"/>
      </c:barChart>
      <c:catAx>
        <c:axId val="1111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6862"/>
        <c:crosses val="autoZero"/>
        <c:auto val="1"/>
        <c:lblOffset val="100"/>
        <c:tickLblSkip val="1"/>
        <c:noMultiLvlLbl val="0"/>
      </c:catAx>
      <c:valAx>
        <c:axId val="10216862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10353"/>
        <c:crossesAt val="1"/>
        <c:crossBetween val="between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3225"/>
          <c:w val="0.0887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15.emf" /><Relationship Id="rId6" Type="http://schemas.openxmlformats.org/officeDocument/2006/relationships/chart" Target="/xl/charts/chart3.xml" /><Relationship Id="rId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4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2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12</xdr:col>
      <xdr:colOff>161925</xdr:colOff>
      <xdr:row>40</xdr:row>
      <xdr:rowOff>142875</xdr:rowOff>
    </xdr:to>
    <xdr:graphicFrame>
      <xdr:nvGraphicFramePr>
        <xdr:cNvPr id="1" name="Diagramm 9"/>
        <xdr:cNvGraphicFramePr/>
      </xdr:nvGraphicFramePr>
      <xdr:xfrm>
        <a:off x="161925" y="2009775"/>
        <a:ext cx="44291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0</xdr:rowOff>
    </xdr:from>
    <xdr:to>
      <xdr:col>23</xdr:col>
      <xdr:colOff>314325</xdr:colOff>
      <xdr:row>26</xdr:row>
      <xdr:rowOff>104775</xdr:rowOff>
    </xdr:to>
    <xdr:graphicFrame>
      <xdr:nvGraphicFramePr>
        <xdr:cNvPr id="2" name="Diagramm 10"/>
        <xdr:cNvGraphicFramePr/>
      </xdr:nvGraphicFramePr>
      <xdr:xfrm>
        <a:off x="4581525" y="2009775"/>
        <a:ext cx="45434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</xdr:colOff>
      <xdr:row>0</xdr:row>
      <xdr:rowOff>85725</xdr:rowOff>
    </xdr:from>
    <xdr:to>
      <xdr:col>13</xdr:col>
      <xdr:colOff>152400</xdr:colOff>
      <xdr:row>2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85725"/>
          <a:ext cx="5619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absolute">
    <xdr:from>
      <xdr:col>12</xdr:col>
      <xdr:colOff>19050</xdr:colOff>
      <xdr:row>5</xdr:row>
      <xdr:rowOff>142875</xdr:rowOff>
    </xdr:from>
    <xdr:to>
      <xdr:col>13</xdr:col>
      <xdr:colOff>152400</xdr:colOff>
      <xdr:row>8</xdr:row>
      <xdr:rowOff>76200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971550"/>
          <a:ext cx="5619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absolute">
    <xdr:from>
      <xdr:col>12</xdr:col>
      <xdr:colOff>9525</xdr:colOff>
      <xdr:row>8</xdr:row>
      <xdr:rowOff>104775</xdr:rowOff>
    </xdr:from>
    <xdr:to>
      <xdr:col>13</xdr:col>
      <xdr:colOff>133350</xdr:colOff>
      <xdr:row>11</xdr:row>
      <xdr:rowOff>19050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1419225"/>
          <a:ext cx="5524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12</xdr:col>
      <xdr:colOff>152400</xdr:colOff>
      <xdr:row>26</xdr:row>
      <xdr:rowOff>123825</xdr:rowOff>
    </xdr:from>
    <xdr:to>
      <xdr:col>23</xdr:col>
      <xdr:colOff>314325</xdr:colOff>
      <xdr:row>40</xdr:row>
      <xdr:rowOff>142875</xdr:rowOff>
    </xdr:to>
    <xdr:graphicFrame>
      <xdr:nvGraphicFramePr>
        <xdr:cNvPr id="6" name="Diagramm 15"/>
        <xdr:cNvGraphicFramePr/>
      </xdr:nvGraphicFramePr>
      <xdr:xfrm>
        <a:off x="4581525" y="4410075"/>
        <a:ext cx="454342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9525</xdr:colOff>
      <xdr:row>3</xdr:row>
      <xdr:rowOff>9525</xdr:rowOff>
    </xdr:from>
    <xdr:to>
      <xdr:col>13</xdr:col>
      <xdr:colOff>123825</xdr:colOff>
      <xdr:row>5</xdr:row>
      <xdr:rowOff>152400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514350"/>
          <a:ext cx="5429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10</xdr:row>
      <xdr:rowOff>9525</xdr:rowOff>
    </xdr:from>
    <xdr:to>
      <xdr:col>11</xdr:col>
      <xdr:colOff>714375</xdr:colOff>
      <xdr:row>29</xdr:row>
      <xdr:rowOff>57150</xdr:rowOff>
    </xdr:to>
    <xdr:pic>
      <xdr:nvPicPr>
        <xdr:cNvPr id="1" name="Picture 20" descr="msoC7687"/>
        <xdr:cNvPicPr preferRelativeResize="1">
          <a:picLocks noChangeAspect="1"/>
        </xdr:cNvPicPr>
      </xdr:nvPicPr>
      <xdr:blipFill>
        <a:blip r:embed="rId1"/>
        <a:srcRect l="2738" t="14622" r="13998" b="20382"/>
        <a:stretch>
          <a:fillRect/>
        </a:stretch>
      </xdr:blipFill>
      <xdr:spPr>
        <a:xfrm>
          <a:off x="5105400" y="1628775"/>
          <a:ext cx="39909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0</xdr:row>
      <xdr:rowOff>0</xdr:rowOff>
    </xdr:from>
    <xdr:to>
      <xdr:col>7</xdr:col>
      <xdr:colOff>590550</xdr:colOff>
      <xdr:row>20</xdr:row>
      <xdr:rowOff>9525</xdr:rowOff>
    </xdr:to>
    <xdr:pic>
      <xdr:nvPicPr>
        <xdr:cNvPr id="2" name="Picture 21" descr="mso54F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8002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285750</xdr:colOff>
      <xdr:row>1</xdr:row>
      <xdr:rowOff>38100</xdr:rowOff>
    </xdr:from>
    <xdr:to>
      <xdr:col>36</xdr:col>
      <xdr:colOff>295275</xdr:colOff>
      <xdr:row>37</xdr:row>
      <xdr:rowOff>38100</xdr:rowOff>
    </xdr:to>
    <xdr:graphicFrame>
      <xdr:nvGraphicFramePr>
        <xdr:cNvPr id="1" name="Diagramm 1"/>
        <xdr:cNvGraphicFramePr/>
      </xdr:nvGraphicFramePr>
      <xdr:xfrm>
        <a:off x="13258800" y="209550"/>
        <a:ext cx="53435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314325</xdr:colOff>
      <xdr:row>13</xdr:row>
      <xdr:rowOff>9525</xdr:rowOff>
    </xdr:from>
    <xdr:to>
      <xdr:col>18</xdr:col>
      <xdr:colOff>257175</xdr:colOff>
      <xdr:row>14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209800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381000</xdr:colOff>
      <xdr:row>51</xdr:row>
      <xdr:rowOff>142875</xdr:rowOff>
    </xdr:from>
    <xdr:to>
      <xdr:col>36</xdr:col>
      <xdr:colOff>695325</xdr:colOff>
      <xdr:row>76</xdr:row>
      <xdr:rowOff>104775</xdr:rowOff>
    </xdr:to>
    <xdr:graphicFrame>
      <xdr:nvGraphicFramePr>
        <xdr:cNvPr id="3" name="Diagramm 17"/>
        <xdr:cNvGraphicFramePr/>
      </xdr:nvGraphicFramePr>
      <xdr:xfrm>
        <a:off x="13354050" y="8667750"/>
        <a:ext cx="56483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361950</xdr:colOff>
      <xdr:row>37</xdr:row>
      <xdr:rowOff>47625</xdr:rowOff>
    </xdr:from>
    <xdr:to>
      <xdr:col>35</xdr:col>
      <xdr:colOff>257175</xdr:colOff>
      <xdr:row>51</xdr:row>
      <xdr:rowOff>114300</xdr:rowOff>
    </xdr:to>
    <xdr:graphicFrame>
      <xdr:nvGraphicFramePr>
        <xdr:cNvPr id="4" name="Diagramm 21"/>
        <xdr:cNvGraphicFramePr/>
      </xdr:nvGraphicFramePr>
      <xdr:xfrm>
        <a:off x="13335000" y="6305550"/>
        <a:ext cx="44672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8"/>
  </sheetPr>
  <dimension ref="A1:AB4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2.421875" style="0" customWidth="1"/>
    <col min="2" max="2" width="2.8515625" style="0" customWidth="1"/>
    <col min="3" max="3" width="8.57421875" style="0" customWidth="1"/>
    <col min="4" max="4" width="7.00390625" style="0" customWidth="1"/>
    <col min="5" max="5" width="8.00390625" style="0" customWidth="1"/>
    <col min="6" max="6" width="5.57421875" style="0" customWidth="1"/>
    <col min="7" max="7" width="3.7109375" style="0" customWidth="1"/>
    <col min="8" max="8" width="7.8515625" style="0" customWidth="1"/>
    <col min="9" max="9" width="6.8515625" style="0" customWidth="1"/>
    <col min="10" max="10" width="4.421875" style="0" bestFit="1" customWidth="1"/>
    <col min="11" max="11" width="6.28125" style="0" bestFit="1" customWidth="1"/>
    <col min="12" max="12" width="2.8515625" style="0" bestFit="1" customWidth="1"/>
    <col min="13" max="13" width="6.421875" style="0" customWidth="1"/>
    <col min="14" max="15" width="2.7109375" style="0" customWidth="1"/>
    <col min="16" max="16" width="7.00390625" style="0" customWidth="1"/>
    <col min="17" max="17" width="7.140625" style="0" customWidth="1"/>
    <col min="18" max="18" width="7.28125" style="0" customWidth="1"/>
    <col min="19" max="19" width="6.00390625" style="0" customWidth="1"/>
    <col min="20" max="20" width="5.28125" style="0" customWidth="1"/>
    <col min="21" max="21" width="6.7109375" style="0" customWidth="1"/>
    <col min="22" max="22" width="8.8515625" style="0" customWidth="1"/>
    <col min="23" max="23" width="5.57421875" style="0" customWidth="1"/>
    <col min="24" max="24" width="4.8515625" style="0" customWidth="1"/>
    <col min="25" max="25" width="1.7109375" style="0" customWidth="1"/>
  </cols>
  <sheetData>
    <row r="1" spans="1:28" ht="13.5" thickBot="1">
      <c r="A1" s="165"/>
      <c r="B1" s="163">
        <v>1</v>
      </c>
      <c r="C1" s="266" t="s">
        <v>3</v>
      </c>
      <c r="D1" s="267"/>
      <c r="E1" s="267"/>
      <c r="F1" s="268"/>
      <c r="G1" s="269"/>
      <c r="H1" s="116" t="s">
        <v>39</v>
      </c>
      <c r="I1" s="116" t="s">
        <v>88</v>
      </c>
      <c r="J1" s="116" t="s">
        <v>89</v>
      </c>
      <c r="K1" s="116" t="s">
        <v>90</v>
      </c>
      <c r="L1" s="179"/>
      <c r="M1" s="172"/>
      <c r="N1" s="172"/>
      <c r="O1" s="186">
        <v>1</v>
      </c>
      <c r="P1" s="270" t="s">
        <v>5</v>
      </c>
      <c r="Q1" s="271"/>
      <c r="R1" s="271"/>
      <c r="S1" s="271"/>
      <c r="T1" s="272"/>
      <c r="U1" s="117" t="s">
        <v>39</v>
      </c>
      <c r="V1" s="117" t="s">
        <v>88</v>
      </c>
      <c r="W1" s="118" t="s">
        <v>89</v>
      </c>
      <c r="X1" s="139" t="s">
        <v>90</v>
      </c>
      <c r="Y1" s="194"/>
      <c r="Z1" s="166"/>
      <c r="AA1" s="166"/>
      <c r="AB1" s="166"/>
    </row>
    <row r="2" spans="1:28" s="65" customFormat="1" ht="13.5" thickTop="1">
      <c r="A2" s="167"/>
      <c r="B2" s="162">
        <v>2</v>
      </c>
      <c r="C2" s="229" t="s">
        <v>2</v>
      </c>
      <c r="D2" s="230"/>
      <c r="E2" s="230"/>
      <c r="F2" s="230"/>
      <c r="G2" s="247"/>
      <c r="H2" s="51" t="s">
        <v>4</v>
      </c>
      <c r="I2" s="100">
        <v>15</v>
      </c>
      <c r="J2" s="134" t="s">
        <v>11</v>
      </c>
      <c r="K2" s="99">
        <v>20</v>
      </c>
      <c r="L2" s="180"/>
      <c r="M2" s="135"/>
      <c r="N2" s="119"/>
      <c r="O2" s="187">
        <v>2</v>
      </c>
      <c r="P2" s="229" t="s">
        <v>2</v>
      </c>
      <c r="Q2" s="230"/>
      <c r="R2" s="230"/>
      <c r="S2" s="230"/>
      <c r="T2" s="247"/>
      <c r="U2" s="51" t="s">
        <v>50</v>
      </c>
      <c r="V2" s="100">
        <v>15</v>
      </c>
      <c r="W2" s="146" t="s">
        <v>11</v>
      </c>
      <c r="X2" s="140">
        <v>20</v>
      </c>
      <c r="Y2" s="169"/>
      <c r="Z2" s="168"/>
      <c r="AA2" s="168"/>
      <c r="AB2" s="168"/>
    </row>
    <row r="3" spans="1:28" s="65" customFormat="1" ht="12.75">
      <c r="A3" s="167"/>
      <c r="B3" s="162">
        <v>3</v>
      </c>
      <c r="C3" s="232" t="s">
        <v>97</v>
      </c>
      <c r="D3" s="233"/>
      <c r="E3" s="233"/>
      <c r="F3" s="233"/>
      <c r="G3" s="248"/>
      <c r="H3" s="11" t="s">
        <v>8</v>
      </c>
      <c r="I3" s="63">
        <v>40</v>
      </c>
      <c r="J3" s="136" t="s">
        <v>11</v>
      </c>
      <c r="K3" s="38">
        <v>40</v>
      </c>
      <c r="L3" s="180"/>
      <c r="M3" s="135"/>
      <c r="N3" s="119"/>
      <c r="O3" s="187">
        <v>3</v>
      </c>
      <c r="P3" s="232" t="s">
        <v>98</v>
      </c>
      <c r="Q3" s="233"/>
      <c r="R3" s="233"/>
      <c r="S3" s="233"/>
      <c r="T3" s="248"/>
      <c r="U3" s="11" t="s">
        <v>9</v>
      </c>
      <c r="V3" s="63">
        <v>40</v>
      </c>
      <c r="W3" s="147" t="s">
        <v>11</v>
      </c>
      <c r="X3" s="141">
        <v>40</v>
      </c>
      <c r="Y3" s="169"/>
      <c r="Z3" s="168"/>
      <c r="AA3" s="168"/>
      <c r="AB3" s="168"/>
    </row>
    <row r="4" spans="1:28" s="65" customFormat="1" ht="12.75">
      <c r="A4" s="167"/>
      <c r="B4" s="160">
        <v>4</v>
      </c>
      <c r="C4" s="232" t="s">
        <v>7</v>
      </c>
      <c r="D4" s="233"/>
      <c r="E4" s="233"/>
      <c r="F4" s="233"/>
      <c r="G4" s="248"/>
      <c r="H4" s="13" t="s">
        <v>99</v>
      </c>
      <c r="I4" s="123">
        <v>0</v>
      </c>
      <c r="J4" s="136" t="s">
        <v>11</v>
      </c>
      <c r="K4" s="55">
        <v>0</v>
      </c>
      <c r="L4" s="181" t="s">
        <v>61</v>
      </c>
      <c r="M4" s="132"/>
      <c r="N4" s="132"/>
      <c r="O4" s="188">
        <v>4</v>
      </c>
      <c r="P4" s="232" t="s">
        <v>7</v>
      </c>
      <c r="Q4" s="233"/>
      <c r="R4" s="233"/>
      <c r="S4" s="233"/>
      <c r="T4" s="248"/>
      <c r="U4" s="13" t="s">
        <v>99</v>
      </c>
      <c r="V4" s="125">
        <f>I4</f>
        <v>0</v>
      </c>
      <c r="W4" s="148"/>
      <c r="X4" s="142">
        <v>0</v>
      </c>
      <c r="Y4" s="169"/>
      <c r="Z4" s="168"/>
      <c r="AA4" s="168"/>
      <c r="AB4" s="168"/>
    </row>
    <row r="5" spans="1:28" s="65" customFormat="1" ht="12.75">
      <c r="A5" s="167"/>
      <c r="B5" s="120">
        <v>5</v>
      </c>
      <c r="C5" s="237" t="s">
        <v>65</v>
      </c>
      <c r="D5" s="238"/>
      <c r="E5" s="238"/>
      <c r="F5" s="238"/>
      <c r="G5" s="239"/>
      <c r="H5" s="69" t="s">
        <v>13</v>
      </c>
      <c r="I5" s="90">
        <v>0</v>
      </c>
      <c r="J5" s="137" t="s">
        <v>11</v>
      </c>
      <c r="K5" s="72">
        <v>0</v>
      </c>
      <c r="L5" s="182"/>
      <c r="M5" s="119"/>
      <c r="N5" s="121"/>
      <c r="O5" s="189">
        <v>5</v>
      </c>
      <c r="P5" s="237" t="s">
        <v>66</v>
      </c>
      <c r="Q5" s="238"/>
      <c r="R5" s="238"/>
      <c r="S5" s="238"/>
      <c r="T5" s="239"/>
      <c r="U5" s="89" t="s">
        <v>43</v>
      </c>
      <c r="V5" s="90">
        <v>0</v>
      </c>
      <c r="W5" s="149" t="s">
        <v>11</v>
      </c>
      <c r="X5" s="143">
        <v>0</v>
      </c>
      <c r="Y5" s="169"/>
      <c r="Z5" s="168"/>
      <c r="AA5" s="168"/>
      <c r="AB5" s="168"/>
    </row>
    <row r="6" spans="1:28" s="65" customFormat="1" ht="12.75">
      <c r="A6" s="167"/>
      <c r="B6" s="120">
        <v>6</v>
      </c>
      <c r="C6" s="263"/>
      <c r="D6" s="264"/>
      <c r="E6" s="264"/>
      <c r="F6" s="264"/>
      <c r="G6" s="265"/>
      <c r="H6" s="69" t="s">
        <v>62</v>
      </c>
      <c r="I6" s="90">
        <v>0</v>
      </c>
      <c r="J6" s="137" t="s">
        <v>11</v>
      </c>
      <c r="K6" s="72">
        <v>0</v>
      </c>
      <c r="L6" s="182"/>
      <c r="M6" s="119"/>
      <c r="N6" s="121"/>
      <c r="O6" s="189">
        <v>6</v>
      </c>
      <c r="P6" s="263"/>
      <c r="Q6" s="264"/>
      <c r="R6" s="264"/>
      <c r="S6" s="264"/>
      <c r="T6" s="265"/>
      <c r="U6" s="89" t="s">
        <v>14</v>
      </c>
      <c r="V6" s="90">
        <v>0</v>
      </c>
      <c r="W6" s="149" t="s">
        <v>11</v>
      </c>
      <c r="X6" s="143">
        <v>0</v>
      </c>
      <c r="Y6" s="169"/>
      <c r="Z6" s="168"/>
      <c r="AA6" s="168"/>
      <c r="AB6" s="168"/>
    </row>
    <row r="7" spans="1:28" s="65" customFormat="1" ht="12.75">
      <c r="A7" s="167"/>
      <c r="B7" s="120">
        <v>7</v>
      </c>
      <c r="C7" s="214" t="s">
        <v>15</v>
      </c>
      <c r="D7" s="215"/>
      <c r="E7" s="215"/>
      <c r="F7" s="215"/>
      <c r="G7" s="249"/>
      <c r="H7" s="71" t="s">
        <v>16</v>
      </c>
      <c r="I7" s="156">
        <v>0</v>
      </c>
      <c r="J7" s="137" t="s">
        <v>11</v>
      </c>
      <c r="K7" s="157">
        <v>0</v>
      </c>
      <c r="L7" s="182"/>
      <c r="M7" s="119"/>
      <c r="N7" s="121"/>
      <c r="O7" s="189">
        <v>7</v>
      </c>
      <c r="P7" s="214" t="s">
        <v>15</v>
      </c>
      <c r="Q7" s="215"/>
      <c r="R7" s="215"/>
      <c r="S7" s="215"/>
      <c r="T7" s="249"/>
      <c r="U7" s="71" t="s">
        <v>17</v>
      </c>
      <c r="V7" s="156">
        <v>90</v>
      </c>
      <c r="W7" s="150" t="s">
        <v>11</v>
      </c>
      <c r="X7" s="158">
        <v>0</v>
      </c>
      <c r="Y7" s="169"/>
      <c r="Z7" s="168"/>
      <c r="AA7" s="168"/>
      <c r="AB7" s="168"/>
    </row>
    <row r="8" spans="1:28" s="65" customFormat="1" ht="12.75">
      <c r="A8" s="167"/>
      <c r="B8" s="120">
        <v>8</v>
      </c>
      <c r="C8" s="214" t="s">
        <v>64</v>
      </c>
      <c r="D8" s="215"/>
      <c r="E8" s="215"/>
      <c r="F8" s="215"/>
      <c r="G8" s="249"/>
      <c r="H8" s="69" t="s">
        <v>63</v>
      </c>
      <c r="I8" s="159">
        <f>(I6-TAN(PI()/180*I7)*I5)</f>
        <v>0</v>
      </c>
      <c r="J8" s="136"/>
      <c r="K8" s="70">
        <f>(K6-TAN(PI()/180*K7)*K5)</f>
        <v>0</v>
      </c>
      <c r="L8" s="182"/>
      <c r="M8" s="119"/>
      <c r="N8" s="121"/>
      <c r="O8" s="189">
        <v>8</v>
      </c>
      <c r="P8" s="214" t="s">
        <v>25</v>
      </c>
      <c r="Q8" s="215"/>
      <c r="R8" s="215"/>
      <c r="S8" s="215"/>
      <c r="T8" s="249"/>
      <c r="U8" s="69" t="s">
        <v>62</v>
      </c>
      <c r="V8" s="159">
        <f>(V6-TAN(PI()/180*V7)*V5)</f>
        <v>0</v>
      </c>
      <c r="W8" s="150"/>
      <c r="X8" s="144">
        <f>(X6-TAN(PI()/180*X7)*X5)</f>
        <v>0</v>
      </c>
      <c r="Y8" s="169"/>
      <c r="Z8" s="168"/>
      <c r="AA8" s="168"/>
      <c r="AB8" s="168"/>
    </row>
    <row r="9" spans="1:28" s="65" customFormat="1" ht="13.5" thickBot="1">
      <c r="A9" s="167"/>
      <c r="B9" s="161">
        <v>9</v>
      </c>
      <c r="C9" s="251" t="s">
        <v>32</v>
      </c>
      <c r="D9" s="252"/>
      <c r="E9" s="252"/>
      <c r="F9" s="252"/>
      <c r="G9" s="246"/>
      <c r="H9" s="53" t="s">
        <v>33</v>
      </c>
      <c r="I9" s="124">
        <v>15</v>
      </c>
      <c r="J9" s="138" t="s">
        <v>11</v>
      </c>
      <c r="K9" s="94">
        <v>20</v>
      </c>
      <c r="L9" s="183"/>
      <c r="M9" s="126"/>
      <c r="N9" s="126"/>
      <c r="O9" s="190">
        <v>9</v>
      </c>
      <c r="P9" s="251" t="s">
        <v>32</v>
      </c>
      <c r="Q9" s="252"/>
      <c r="R9" s="252"/>
      <c r="S9" s="252"/>
      <c r="T9" s="246"/>
      <c r="U9" s="53" t="s">
        <v>33</v>
      </c>
      <c r="V9" s="93">
        <v>15</v>
      </c>
      <c r="W9" s="151" t="s">
        <v>11</v>
      </c>
      <c r="X9" s="145">
        <v>40</v>
      </c>
      <c r="Y9" s="169"/>
      <c r="Z9" s="168"/>
      <c r="AA9" s="168"/>
      <c r="AB9" s="168"/>
    </row>
    <row r="10" spans="1:28" s="65" customFormat="1" ht="13.5" thickTop="1">
      <c r="A10" s="167"/>
      <c r="B10" s="160">
        <v>10</v>
      </c>
      <c r="C10" s="229" t="s">
        <v>101</v>
      </c>
      <c r="D10" s="230"/>
      <c r="E10" s="230"/>
      <c r="F10" s="230"/>
      <c r="G10" s="230"/>
      <c r="H10" s="60" t="s">
        <v>91</v>
      </c>
      <c r="I10" s="100">
        <v>1</v>
      </c>
      <c r="J10" s="134" t="s">
        <v>11</v>
      </c>
      <c r="K10" s="127">
        <v>1</v>
      </c>
      <c r="L10" s="184"/>
      <c r="M10" s="126"/>
      <c r="N10" s="126"/>
      <c r="O10" s="160">
        <v>10</v>
      </c>
      <c r="P10" s="235" t="s">
        <v>100</v>
      </c>
      <c r="Q10" s="235"/>
      <c r="R10" s="235"/>
      <c r="S10" s="235"/>
      <c r="T10" s="235"/>
      <c r="U10" s="60" t="s">
        <v>107</v>
      </c>
      <c r="V10" s="100">
        <v>1</v>
      </c>
      <c r="W10" s="146" t="s">
        <v>11</v>
      </c>
      <c r="X10" s="173">
        <v>1</v>
      </c>
      <c r="Y10" s="169"/>
      <c r="Z10" s="168"/>
      <c r="AA10" s="168"/>
      <c r="AB10" s="168"/>
    </row>
    <row r="11" spans="1:28" s="65" customFormat="1" ht="13.5" thickBot="1">
      <c r="A11" s="167"/>
      <c r="B11" s="174">
        <v>11</v>
      </c>
      <c r="C11" s="200" t="s">
        <v>102</v>
      </c>
      <c r="D11" s="201"/>
      <c r="E11" s="201"/>
      <c r="F11" s="201"/>
      <c r="G11" s="201"/>
      <c r="H11" s="53" t="s">
        <v>92</v>
      </c>
      <c r="I11" s="124">
        <v>1</v>
      </c>
      <c r="J11" s="138" t="s">
        <v>11</v>
      </c>
      <c r="K11" s="66">
        <v>1</v>
      </c>
      <c r="L11" s="185"/>
      <c r="M11" s="126"/>
      <c r="N11" s="126"/>
      <c r="O11" s="191">
        <v>11</v>
      </c>
      <c r="P11" s="217" t="s">
        <v>103</v>
      </c>
      <c r="Q11" s="217"/>
      <c r="R11" s="217"/>
      <c r="S11" s="217"/>
      <c r="T11" s="217"/>
      <c r="U11" s="53" t="s">
        <v>108</v>
      </c>
      <c r="V11" s="124">
        <v>1</v>
      </c>
      <c r="W11" s="152" t="s">
        <v>11</v>
      </c>
      <c r="X11" s="175">
        <v>1</v>
      </c>
      <c r="Y11" s="169"/>
      <c r="Z11" s="168"/>
      <c r="AA11" s="168"/>
      <c r="AB11" s="168"/>
    </row>
    <row r="12" spans="1:28" s="65" customFormat="1" ht="14.25" thickBot="1" thickTop="1">
      <c r="A12" s="167"/>
      <c r="B12" s="176"/>
      <c r="C12" s="260" t="s">
        <v>109</v>
      </c>
      <c r="D12" s="261"/>
      <c r="E12" s="261"/>
      <c r="F12" s="261"/>
      <c r="G12" s="262"/>
      <c r="H12" s="133" t="s">
        <v>105</v>
      </c>
      <c r="I12" s="196">
        <v>45</v>
      </c>
      <c r="J12" s="177"/>
      <c r="K12" s="177"/>
      <c r="L12" s="178"/>
      <c r="M12" s="177"/>
      <c r="N12" s="177"/>
      <c r="O12" s="176"/>
      <c r="P12" s="260" t="s">
        <v>110</v>
      </c>
      <c r="Q12" s="261"/>
      <c r="R12" s="261"/>
      <c r="S12" s="261"/>
      <c r="T12" s="262"/>
      <c r="U12" s="133" t="s">
        <v>106</v>
      </c>
      <c r="V12" s="197">
        <f>I12+I4</f>
        <v>45</v>
      </c>
      <c r="W12" s="178"/>
      <c r="X12" s="178"/>
      <c r="Y12" s="169"/>
      <c r="Z12" s="168"/>
      <c r="AA12" s="168"/>
      <c r="AB12" s="168"/>
    </row>
    <row r="13" spans="1:28" ht="13.5" thickBot="1">
      <c r="A13" s="19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  <c r="X13" s="25"/>
      <c r="Y13" s="195"/>
      <c r="Z13" s="166"/>
      <c r="AA13" s="166"/>
      <c r="AB13" s="166"/>
    </row>
    <row r="14" spans="1:28" ht="12.75">
      <c r="A14" s="19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95"/>
      <c r="Z14" s="166"/>
      <c r="AA14" s="166"/>
      <c r="AB14" s="166"/>
    </row>
    <row r="15" spans="1:28" ht="12.75">
      <c r="A15" s="19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95"/>
      <c r="Z15" s="166"/>
      <c r="AA15" s="166"/>
      <c r="AB15" s="166"/>
    </row>
    <row r="16" spans="1:28" ht="12.75">
      <c r="A16" s="19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195"/>
      <c r="Z16" s="166"/>
      <c r="AA16" s="166"/>
      <c r="AB16" s="166"/>
    </row>
    <row r="17" spans="1:28" ht="12.75">
      <c r="A17" s="19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195"/>
      <c r="Z17" s="166"/>
      <c r="AA17" s="166"/>
      <c r="AB17" s="166"/>
    </row>
    <row r="18" spans="1:28" ht="12.75">
      <c r="A18" s="19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93"/>
      <c r="S18" s="25"/>
      <c r="T18" s="25"/>
      <c r="U18" s="25"/>
      <c r="V18" s="25"/>
      <c r="W18" s="25"/>
      <c r="X18" s="25"/>
      <c r="Y18" s="195"/>
      <c r="Z18" s="166"/>
      <c r="AA18" s="166"/>
      <c r="AB18" s="166"/>
    </row>
    <row r="19" spans="1:28" ht="12.75">
      <c r="A19" s="19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95"/>
      <c r="Z19" s="166"/>
      <c r="AA19" s="166"/>
      <c r="AB19" s="166"/>
    </row>
    <row r="20" spans="1:28" ht="12.75">
      <c r="A20" s="19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95"/>
      <c r="Z20" s="166"/>
      <c r="AA20" s="166"/>
      <c r="AB20" s="166"/>
    </row>
    <row r="21" spans="1:28" ht="12.75">
      <c r="A21" s="19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95"/>
      <c r="Z21" s="166"/>
      <c r="AA21" s="166"/>
      <c r="AB21" s="166"/>
    </row>
    <row r="22" spans="1:28" ht="12.75">
      <c r="A22" s="19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95"/>
      <c r="Z22" s="166"/>
      <c r="AA22" s="166"/>
      <c r="AB22" s="166"/>
    </row>
    <row r="23" spans="1:28" ht="12.75">
      <c r="A23" s="19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95"/>
      <c r="Z23" s="166"/>
      <c r="AA23" s="166"/>
      <c r="AB23" s="166"/>
    </row>
    <row r="24" spans="1:28" ht="12.75">
      <c r="A24" s="19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95"/>
      <c r="Z24" s="166"/>
      <c r="AA24" s="166"/>
      <c r="AB24" s="166"/>
    </row>
    <row r="25" spans="1:28" ht="12.75">
      <c r="A25" s="19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95"/>
      <c r="Z25" s="166"/>
      <c r="AA25" s="166"/>
      <c r="AB25" s="166"/>
    </row>
    <row r="26" spans="1:28" ht="12.75">
      <c r="A26" s="19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95"/>
      <c r="Z26" s="166"/>
      <c r="AA26" s="166"/>
      <c r="AB26" s="166"/>
    </row>
    <row r="27" spans="1:28" ht="12.75">
      <c r="A27" s="19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95"/>
      <c r="Z27" s="166"/>
      <c r="AA27" s="166"/>
      <c r="AB27" s="166"/>
    </row>
    <row r="28" spans="1:28" ht="12.75">
      <c r="A28" s="19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95"/>
      <c r="Z28" s="166"/>
      <c r="AA28" s="166"/>
      <c r="AB28" s="166"/>
    </row>
    <row r="29" spans="1:28" ht="12.75">
      <c r="A29" s="19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95"/>
      <c r="Z29" s="166"/>
      <c r="AA29" s="166"/>
      <c r="AB29" s="166"/>
    </row>
    <row r="30" spans="1:28" ht="12.75">
      <c r="A30" s="19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95"/>
      <c r="Z30" s="166"/>
      <c r="AA30" s="166"/>
      <c r="AB30" s="166"/>
    </row>
    <row r="31" spans="1:28" ht="12.75">
      <c r="A31" s="19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95"/>
      <c r="Z31" s="166"/>
      <c r="AA31" s="166"/>
      <c r="AB31" s="166"/>
    </row>
    <row r="32" spans="1:28" ht="12.75">
      <c r="A32" s="19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195"/>
      <c r="Z32" s="166"/>
      <c r="AA32" s="166"/>
      <c r="AB32" s="166"/>
    </row>
    <row r="33" spans="1:28" ht="12.75">
      <c r="A33" s="19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95"/>
      <c r="Z33" s="166"/>
      <c r="AA33" s="166"/>
      <c r="AB33" s="166"/>
    </row>
    <row r="34" spans="1:28" ht="12.75">
      <c r="A34" s="19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95"/>
      <c r="Z34" s="166"/>
      <c r="AA34" s="166"/>
      <c r="AB34" s="166"/>
    </row>
    <row r="35" spans="1:28" ht="12.75">
      <c r="A35" s="19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95"/>
      <c r="Z35" s="166"/>
      <c r="AA35" s="166"/>
      <c r="AB35" s="166"/>
    </row>
    <row r="36" spans="1:28" ht="12.75">
      <c r="A36" s="19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95"/>
      <c r="Z36" s="166"/>
      <c r="AA36" s="166"/>
      <c r="AB36" s="166"/>
    </row>
    <row r="37" spans="1:28" ht="12.75">
      <c r="A37" s="19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95"/>
      <c r="Z37" s="166"/>
      <c r="AA37" s="166"/>
      <c r="AB37" s="166"/>
    </row>
    <row r="38" spans="1:28" ht="12.75">
      <c r="A38" s="19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95"/>
      <c r="Z38" s="166"/>
      <c r="AA38" s="166"/>
      <c r="AB38" s="166"/>
    </row>
    <row r="39" spans="1:28" ht="12.75">
      <c r="A39" s="19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95"/>
      <c r="Z39" s="166"/>
      <c r="AA39" s="166"/>
      <c r="AB39" s="166"/>
    </row>
    <row r="40" spans="1:28" ht="12.75">
      <c r="A40" s="19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95"/>
      <c r="Z40" s="166"/>
      <c r="AA40" s="166"/>
      <c r="AB40" s="166"/>
    </row>
    <row r="41" spans="1:28" ht="13.5" thickBot="1">
      <c r="A41" s="170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71"/>
      <c r="Z41" s="166"/>
      <c r="AA41" s="166"/>
      <c r="AB41" s="166"/>
    </row>
    <row r="42" spans="1:28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:28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:28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:28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</sheetData>
  <sheetProtection sheet="1" objects="1" scenarios="1" selectLockedCells="1"/>
  <mergeCells count="22">
    <mergeCell ref="C1:G1"/>
    <mergeCell ref="P1:T1"/>
    <mergeCell ref="C2:G2"/>
    <mergeCell ref="P2:T2"/>
    <mergeCell ref="C3:G3"/>
    <mergeCell ref="P3:T3"/>
    <mergeCell ref="C4:G4"/>
    <mergeCell ref="P4:T4"/>
    <mergeCell ref="C5:G6"/>
    <mergeCell ref="P5:T6"/>
    <mergeCell ref="C7:G7"/>
    <mergeCell ref="P7:T7"/>
    <mergeCell ref="C12:G12"/>
    <mergeCell ref="C11:G11"/>
    <mergeCell ref="P11:T11"/>
    <mergeCell ref="P12:T12"/>
    <mergeCell ref="C8:G8"/>
    <mergeCell ref="P8:T8"/>
    <mergeCell ref="C9:G9"/>
    <mergeCell ref="P9:T9"/>
    <mergeCell ref="C10:G10"/>
    <mergeCell ref="P10:T10"/>
  </mergeCells>
  <printOptions/>
  <pageMargins left="0.37" right="0.5" top="0.62" bottom="0.44" header="0.37" footer="0.14"/>
  <pageSetup horizontalDpi="600" verticalDpi="600" orientation="landscape" paperSize="9" r:id="rId2"/>
  <headerFooter alignWithMargins="0">
    <oddHeader>&amp;C&amp;"Arial,Fett"&amp;12Kinematik des einfachen Stirlingmotors</oddHeader>
    <oddFooter>&amp;L&amp;6&amp;Z
&amp;F&amp;A&amp;R&amp;6Bladt / 25.20.2009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8"/>
  </sheetPr>
  <dimension ref="A1:A1"/>
  <sheetViews>
    <sheetView zoomScale="80" zoomScaleNormal="80" zoomScalePageLayoutView="0" workbookViewId="0" topLeftCell="A5">
      <selection activeCell="J42" sqref="J42"/>
    </sheetView>
  </sheetViews>
  <sheetFormatPr defaultColWidth="11.421875" defaultRowHeight="12.75"/>
  <sheetData/>
  <sheetProtection sheet="1" objects="1" scenarios="1"/>
  <printOptions/>
  <pageMargins left="0.54" right="0.51" top="0.984251969" bottom="0.72" header="0.61" footer="0.4921259845"/>
  <pageSetup horizontalDpi="600" verticalDpi="600" orientation="landscape" paperSize="9" r:id="rId12"/>
  <headerFooter alignWithMargins="0">
    <oddHeader>&amp;C&amp;"Arial,Fett"&amp;12Kinematik eines Stirlingmotors
mit einfachem Kurbeltrieb</oddHeader>
    <oddFooter>&amp;L&amp;"Arial Narrow,Standard"&amp;8&amp;Z
&amp;F&amp;A&amp;R&amp;"Arial Narrow,Standard"&amp;8Bladt: 18.10.2009
&amp;D
&amp;T</oddFooter>
  </headerFooter>
  <drawing r:id="rId11"/>
  <legacyDrawing r:id="rId10"/>
  <oleObjects>
    <oleObject progId="Equation.3" shapeId="451981" r:id="rId1"/>
    <oleObject progId="Equation.3" shapeId="463419" r:id="rId2"/>
    <oleObject progId="Equation.3" shapeId="512374" r:id="rId3"/>
    <oleObject progId="Equation.3" shapeId="546416" r:id="rId4"/>
    <oleObject progId="Equation.3" shapeId="738194" r:id="rId5"/>
    <oleObject progId="Equation.3" shapeId="784038" r:id="rId6"/>
    <oleObject progId="Equation.3" shapeId="1661063" r:id="rId7"/>
    <oleObject progId="Equation.3" shapeId="286594" r:id="rId8"/>
    <oleObject progId="Equation.3" shapeId="303117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AC81"/>
  <sheetViews>
    <sheetView zoomScale="47" zoomScaleNormal="47" zoomScalePageLayoutView="0" workbookViewId="0" topLeftCell="A1">
      <selection activeCell="AC32" sqref="AC32"/>
    </sheetView>
  </sheetViews>
  <sheetFormatPr defaultColWidth="11.421875" defaultRowHeight="12.75"/>
  <cols>
    <col min="1" max="1" width="7.421875" style="0" customWidth="1"/>
    <col min="2" max="2" width="5.7109375" style="0" customWidth="1"/>
    <col min="3" max="3" width="5.421875" style="0" customWidth="1"/>
    <col min="4" max="4" width="6.7109375" style="0" customWidth="1"/>
    <col min="5" max="5" width="6.8515625" style="0" customWidth="1"/>
    <col min="6" max="6" width="7.00390625" style="0" customWidth="1"/>
    <col min="7" max="7" width="6.7109375" style="0" customWidth="1"/>
    <col min="8" max="8" width="6.8515625" style="0" customWidth="1"/>
    <col min="9" max="9" width="6.57421875" style="0" customWidth="1"/>
    <col min="10" max="11" width="7.140625" style="0" customWidth="1"/>
    <col min="12" max="12" width="7.28125" style="6" bestFit="1" customWidth="1"/>
    <col min="13" max="13" width="7.00390625" style="6" bestFit="1" customWidth="1"/>
    <col min="14" max="14" width="5.8515625" style="6" customWidth="1"/>
    <col min="15" max="15" width="6.57421875" style="6" customWidth="1"/>
    <col min="16" max="16" width="6.28125" style="0" customWidth="1"/>
    <col min="17" max="17" width="7.00390625" style="0" customWidth="1"/>
    <col min="18" max="18" width="7.140625" style="0" customWidth="1"/>
    <col min="19" max="19" width="7.00390625" style="0" customWidth="1"/>
    <col min="20" max="21" width="7.28125" style="0" customWidth="1"/>
    <col min="22" max="22" width="6.7109375" style="0" customWidth="1"/>
    <col min="23" max="23" width="6.57421875" style="0" customWidth="1"/>
    <col min="24" max="24" width="6.8515625" style="0" customWidth="1"/>
    <col min="25" max="25" width="7.28125" style="0" customWidth="1"/>
    <col min="26" max="26" width="6.57421875" style="0" customWidth="1"/>
    <col min="27" max="27" width="5.8515625" style="0" customWidth="1"/>
    <col min="28" max="28" width="6.7109375" style="0" customWidth="1"/>
    <col min="29" max="29" width="5.7109375" style="0" customWidth="1"/>
  </cols>
  <sheetData>
    <row r="1" spans="2:24" ht="13.5" thickBot="1">
      <c r="B1" s="114">
        <v>1</v>
      </c>
      <c r="C1" s="243" t="s">
        <v>3</v>
      </c>
      <c r="D1" s="244"/>
      <c r="E1" s="244"/>
      <c r="F1" s="245"/>
      <c r="G1" s="246"/>
      <c r="H1" s="101" t="s">
        <v>39</v>
      </c>
      <c r="I1" s="101" t="s">
        <v>38</v>
      </c>
      <c r="J1" s="101" t="s">
        <v>37</v>
      </c>
      <c r="K1" s="101" t="s">
        <v>36</v>
      </c>
      <c r="L1" s="96"/>
      <c r="M1" s="96"/>
      <c r="N1" s="96"/>
      <c r="O1" s="103">
        <v>1</v>
      </c>
      <c r="P1" s="226" t="s">
        <v>5</v>
      </c>
      <c r="Q1" s="227"/>
      <c r="R1" s="227"/>
      <c r="S1" s="227"/>
      <c r="T1" s="228"/>
      <c r="U1" s="102" t="s">
        <v>39</v>
      </c>
      <c r="V1" s="102" t="s">
        <v>38</v>
      </c>
      <c r="W1" s="102" t="s">
        <v>37</v>
      </c>
      <c r="X1" s="102" t="s">
        <v>36</v>
      </c>
    </row>
    <row r="2" spans="2:24" ht="13.5" thickTop="1">
      <c r="B2" s="114">
        <v>2</v>
      </c>
      <c r="C2" s="229" t="s">
        <v>2</v>
      </c>
      <c r="D2" s="230"/>
      <c r="E2" s="230"/>
      <c r="F2" s="230"/>
      <c r="G2" s="247"/>
      <c r="H2" s="51" t="s">
        <v>4</v>
      </c>
      <c r="I2" s="98">
        <f>Animation!I2</f>
        <v>15</v>
      </c>
      <c r="J2" s="61" t="s">
        <v>11</v>
      </c>
      <c r="K2" s="99">
        <v>20</v>
      </c>
      <c r="L2" s="9"/>
      <c r="M2" s="9"/>
      <c r="N2" s="48"/>
      <c r="O2" s="104">
        <v>2</v>
      </c>
      <c r="P2" s="229" t="s">
        <v>2</v>
      </c>
      <c r="Q2" s="230"/>
      <c r="R2" s="230"/>
      <c r="S2" s="230"/>
      <c r="T2" s="231"/>
      <c r="U2" s="51" t="s">
        <v>50</v>
      </c>
      <c r="V2" s="98">
        <f>Animation!V2</f>
        <v>15</v>
      </c>
      <c r="W2" s="52" t="s">
        <v>11</v>
      </c>
      <c r="X2" s="99">
        <v>20</v>
      </c>
    </row>
    <row r="3" spans="2:24" ht="12.75">
      <c r="B3" s="114">
        <v>3</v>
      </c>
      <c r="C3" s="232" t="s">
        <v>6</v>
      </c>
      <c r="D3" s="233"/>
      <c r="E3" s="233"/>
      <c r="F3" s="233"/>
      <c r="G3" s="248"/>
      <c r="H3" s="11" t="s">
        <v>8</v>
      </c>
      <c r="I3" s="98">
        <f>Animation!I3</f>
        <v>40</v>
      </c>
      <c r="J3" s="44" t="s">
        <v>11</v>
      </c>
      <c r="K3" s="38">
        <v>60</v>
      </c>
      <c r="L3" s="9"/>
      <c r="M3" s="9"/>
      <c r="N3" s="48"/>
      <c r="O3" s="104">
        <v>3</v>
      </c>
      <c r="P3" s="232" t="s">
        <v>6</v>
      </c>
      <c r="Q3" s="233"/>
      <c r="R3" s="233"/>
      <c r="S3" s="233"/>
      <c r="T3" s="234"/>
      <c r="U3" s="11" t="s">
        <v>9</v>
      </c>
      <c r="V3" s="98">
        <f>Animation!V3</f>
        <v>40</v>
      </c>
      <c r="W3" s="45" t="s">
        <v>11</v>
      </c>
      <c r="X3" s="38">
        <v>60</v>
      </c>
    </row>
    <row r="4" spans="2:24" ht="13.5">
      <c r="B4" s="114">
        <v>4</v>
      </c>
      <c r="C4" s="232" t="s">
        <v>7</v>
      </c>
      <c r="D4" s="233"/>
      <c r="E4" s="233"/>
      <c r="F4" s="233"/>
      <c r="G4" s="248"/>
      <c r="H4" s="12" t="s">
        <v>10</v>
      </c>
      <c r="I4" s="98">
        <f>Animation!I4</f>
        <v>0</v>
      </c>
      <c r="J4" s="44" t="s">
        <v>11</v>
      </c>
      <c r="K4" s="55">
        <v>0</v>
      </c>
      <c r="L4" s="62" t="s">
        <v>61</v>
      </c>
      <c r="M4" s="62" t="s">
        <v>61</v>
      </c>
      <c r="N4" s="57" t="s">
        <v>71</v>
      </c>
      <c r="O4" s="104">
        <v>4</v>
      </c>
      <c r="P4" s="232" t="s">
        <v>7</v>
      </c>
      <c r="Q4" s="233"/>
      <c r="R4" s="233"/>
      <c r="S4" s="233"/>
      <c r="T4" s="234"/>
      <c r="U4" s="12" t="s">
        <v>10</v>
      </c>
      <c r="V4" s="98">
        <f>Animation!V4</f>
        <v>0</v>
      </c>
      <c r="W4" s="46"/>
      <c r="X4" s="55">
        <v>0</v>
      </c>
    </row>
    <row r="5" spans="2:24" ht="12.75">
      <c r="B5" s="115">
        <v>5</v>
      </c>
      <c r="C5" s="237" t="s">
        <v>65</v>
      </c>
      <c r="D5" s="238"/>
      <c r="E5" s="238"/>
      <c r="F5" s="238"/>
      <c r="G5" s="239"/>
      <c r="H5" s="69" t="s">
        <v>13</v>
      </c>
      <c r="I5" s="98">
        <f>Animation!I5</f>
        <v>0</v>
      </c>
      <c r="J5" s="74" t="s">
        <v>11</v>
      </c>
      <c r="K5" s="72">
        <v>0</v>
      </c>
      <c r="L5" s="10"/>
      <c r="M5" s="10"/>
      <c r="N5" s="58"/>
      <c r="O5" s="105">
        <v>5</v>
      </c>
      <c r="P5" s="237" t="s">
        <v>66</v>
      </c>
      <c r="Q5" s="238"/>
      <c r="R5" s="238"/>
      <c r="S5" s="238"/>
      <c r="T5" s="239"/>
      <c r="U5" s="89" t="s">
        <v>43</v>
      </c>
      <c r="V5" s="98">
        <f>Animation!V5</f>
        <v>0</v>
      </c>
      <c r="W5" s="68" t="s">
        <v>11</v>
      </c>
      <c r="X5" s="72">
        <v>0</v>
      </c>
    </row>
    <row r="6" spans="2:24" ht="12.75">
      <c r="B6" s="115">
        <v>6</v>
      </c>
      <c r="C6" s="240"/>
      <c r="D6" s="241"/>
      <c r="E6" s="241"/>
      <c r="F6" s="241"/>
      <c r="G6" s="242"/>
      <c r="H6" s="69" t="s">
        <v>62</v>
      </c>
      <c r="I6" s="98">
        <f>Animation!I6</f>
        <v>0</v>
      </c>
      <c r="J6" s="74" t="s">
        <v>11</v>
      </c>
      <c r="K6" s="72">
        <v>0</v>
      </c>
      <c r="L6" s="10"/>
      <c r="M6" s="10"/>
      <c r="N6" s="58"/>
      <c r="O6" s="105">
        <v>6</v>
      </c>
      <c r="P6" s="240"/>
      <c r="Q6" s="241"/>
      <c r="R6" s="241"/>
      <c r="S6" s="241"/>
      <c r="T6" s="242"/>
      <c r="U6" s="89" t="s">
        <v>14</v>
      </c>
      <c r="V6" s="98">
        <f>Animation!V6</f>
        <v>0</v>
      </c>
      <c r="W6" s="68" t="s">
        <v>11</v>
      </c>
      <c r="X6" s="72">
        <v>0</v>
      </c>
    </row>
    <row r="7" spans="2:24" ht="12.75">
      <c r="B7" s="115">
        <v>7</v>
      </c>
      <c r="C7" s="214" t="s">
        <v>15</v>
      </c>
      <c r="D7" s="215"/>
      <c r="E7" s="215"/>
      <c r="F7" s="215"/>
      <c r="G7" s="249"/>
      <c r="H7" s="71" t="s">
        <v>16</v>
      </c>
      <c r="I7" s="98">
        <f>Animation!I7</f>
        <v>0</v>
      </c>
      <c r="J7" s="74" t="s">
        <v>11</v>
      </c>
      <c r="K7" s="73">
        <v>0</v>
      </c>
      <c r="L7" s="10"/>
      <c r="M7" s="10"/>
      <c r="N7" s="58"/>
      <c r="O7" s="105">
        <v>7</v>
      </c>
      <c r="P7" s="214" t="s">
        <v>15</v>
      </c>
      <c r="Q7" s="215"/>
      <c r="R7" s="215"/>
      <c r="S7" s="215"/>
      <c r="T7" s="216"/>
      <c r="U7" s="71" t="s">
        <v>17</v>
      </c>
      <c r="V7" s="98">
        <f>Animation!V7</f>
        <v>90</v>
      </c>
      <c r="W7" s="47" t="s">
        <v>11</v>
      </c>
      <c r="X7" s="73">
        <v>0</v>
      </c>
    </row>
    <row r="8" spans="2:24" ht="12.75">
      <c r="B8" s="115">
        <v>8</v>
      </c>
      <c r="C8" s="214" t="s">
        <v>64</v>
      </c>
      <c r="D8" s="215"/>
      <c r="E8" s="215"/>
      <c r="F8" s="215"/>
      <c r="G8" s="249"/>
      <c r="H8" s="69" t="s">
        <v>63</v>
      </c>
      <c r="I8" s="98">
        <f>Animation!I8</f>
        <v>0</v>
      </c>
      <c r="J8" s="44"/>
      <c r="K8" s="70">
        <f>(K6-TAN(PI()/180*K7)*K5)</f>
        <v>0</v>
      </c>
      <c r="L8" s="10"/>
      <c r="M8" s="10"/>
      <c r="N8" s="58"/>
      <c r="O8" s="105">
        <v>8</v>
      </c>
      <c r="P8" s="214" t="s">
        <v>25</v>
      </c>
      <c r="Q8" s="215"/>
      <c r="R8" s="215"/>
      <c r="S8" s="215"/>
      <c r="T8" s="216"/>
      <c r="U8" s="69" t="s">
        <v>62</v>
      </c>
      <c r="V8" s="98">
        <f>Animation!V8</f>
        <v>0</v>
      </c>
      <c r="W8" s="47"/>
      <c r="X8" s="70">
        <f>(X6-TAN(PI()/180*X7)*X5)</f>
        <v>0</v>
      </c>
    </row>
    <row r="9" spans="2:24" ht="14.25" thickBot="1">
      <c r="B9" s="106">
        <v>9</v>
      </c>
      <c r="C9" s="251" t="s">
        <v>32</v>
      </c>
      <c r="D9" s="252"/>
      <c r="E9" s="252"/>
      <c r="F9" s="252"/>
      <c r="G9" s="253"/>
      <c r="H9" s="53" t="s">
        <v>33</v>
      </c>
      <c r="I9" s="98">
        <f>Animation!I9</f>
        <v>15</v>
      </c>
      <c r="J9" s="95" t="s">
        <v>11</v>
      </c>
      <c r="K9" s="94">
        <v>40</v>
      </c>
      <c r="L9" s="96"/>
      <c r="M9" s="96"/>
      <c r="N9" s="97"/>
      <c r="O9" s="103">
        <v>9</v>
      </c>
      <c r="P9" s="217" t="s">
        <v>32</v>
      </c>
      <c r="Q9" s="217"/>
      <c r="R9" s="217"/>
      <c r="S9" s="217"/>
      <c r="T9" s="218"/>
      <c r="U9" s="53" t="s">
        <v>33</v>
      </c>
      <c r="V9" s="98">
        <f>Animation!V9</f>
        <v>15</v>
      </c>
      <c r="W9" s="54" t="s">
        <v>11</v>
      </c>
      <c r="X9" s="94">
        <v>40</v>
      </c>
    </row>
    <row r="10" spans="2:24" ht="14.25" thickTop="1">
      <c r="B10" s="130"/>
      <c r="C10" s="229" t="s">
        <v>95</v>
      </c>
      <c r="D10" s="230"/>
      <c r="E10" s="230"/>
      <c r="F10" s="230"/>
      <c r="G10" s="230"/>
      <c r="H10" s="60" t="s">
        <v>91</v>
      </c>
      <c r="I10" s="98">
        <f>Animation!I10</f>
        <v>1</v>
      </c>
      <c r="J10" s="61" t="s">
        <v>11</v>
      </c>
      <c r="K10" s="127">
        <v>1</v>
      </c>
      <c r="L10" s="64"/>
      <c r="M10" s="64"/>
      <c r="N10" s="126"/>
      <c r="O10" s="128">
        <v>10</v>
      </c>
      <c r="P10" s="235" t="s">
        <v>94</v>
      </c>
      <c r="Q10" s="235"/>
      <c r="R10" s="235"/>
      <c r="S10" s="235"/>
      <c r="T10" s="236"/>
      <c r="U10" s="60" t="s">
        <v>60</v>
      </c>
      <c r="V10" s="98">
        <f>Animation!V10</f>
        <v>1</v>
      </c>
      <c r="W10" s="52" t="s">
        <v>11</v>
      </c>
      <c r="X10" s="127">
        <v>-1</v>
      </c>
    </row>
    <row r="11" spans="2:24" ht="14.25" thickBot="1">
      <c r="B11" s="131">
        <v>11</v>
      </c>
      <c r="C11" s="200" t="s">
        <v>96</v>
      </c>
      <c r="D11" s="201"/>
      <c r="E11" s="201"/>
      <c r="F11" s="201"/>
      <c r="G11" s="201"/>
      <c r="H11" s="53" t="s">
        <v>92</v>
      </c>
      <c r="I11" s="98">
        <f>Animation!I11</f>
        <v>1</v>
      </c>
      <c r="J11" s="95" t="s">
        <v>11</v>
      </c>
      <c r="K11" s="66">
        <v>2</v>
      </c>
      <c r="L11" s="96"/>
      <c r="M11" s="96"/>
      <c r="N11" s="96"/>
      <c r="O11" s="129">
        <v>11</v>
      </c>
      <c r="P11" s="217" t="s">
        <v>93</v>
      </c>
      <c r="Q11" s="217"/>
      <c r="R11" s="217"/>
      <c r="S11" s="217"/>
      <c r="T11" s="217"/>
      <c r="U11" s="53" t="s">
        <v>92</v>
      </c>
      <c r="V11" s="98">
        <f>Animation!V11</f>
        <v>1</v>
      </c>
      <c r="W11" s="95" t="s">
        <v>11</v>
      </c>
      <c r="X11" s="66">
        <v>2</v>
      </c>
    </row>
    <row r="12" spans="3:19" ht="13.5" thickTop="1">
      <c r="C12" s="199"/>
      <c r="D12" s="199"/>
      <c r="E12" s="199"/>
      <c r="F12" s="199"/>
      <c r="G12" s="2"/>
      <c r="H12" s="2"/>
      <c r="I12" s="1"/>
      <c r="P12" s="199"/>
      <c r="Q12" s="199"/>
      <c r="R12" s="199"/>
      <c r="S12" s="199"/>
    </row>
    <row r="13" spans="3:19" ht="12.75">
      <c r="C13" s="199"/>
      <c r="D13" s="199"/>
      <c r="E13" s="199"/>
      <c r="F13" s="199"/>
      <c r="G13" s="2"/>
      <c r="H13" s="2"/>
      <c r="I13" s="1"/>
      <c r="P13" s="199"/>
      <c r="Q13" s="199"/>
      <c r="R13" s="199"/>
      <c r="S13" s="199"/>
    </row>
    <row r="14" spans="3:19" ht="12.75">
      <c r="C14" s="199"/>
      <c r="D14" s="199"/>
      <c r="E14" s="199"/>
      <c r="F14" s="199"/>
      <c r="I14" s="1"/>
      <c r="P14" s="255"/>
      <c r="Q14" s="255"/>
      <c r="R14" s="255"/>
      <c r="S14" s="255"/>
    </row>
    <row r="15" spans="3:27" ht="12.75">
      <c r="C15" s="4"/>
      <c r="D15" s="4"/>
      <c r="E15" s="4"/>
      <c r="Z15" s="6"/>
      <c r="AA15" s="6"/>
    </row>
    <row r="16" spans="3:27" ht="12.75" customHeight="1">
      <c r="C16" s="35" t="s">
        <v>23</v>
      </c>
      <c r="D16" s="198" t="s">
        <v>12</v>
      </c>
      <c r="E16" s="198"/>
      <c r="F16" s="202" t="s">
        <v>31</v>
      </c>
      <c r="G16" s="203"/>
      <c r="H16" s="203"/>
      <c r="I16" s="204"/>
      <c r="J16" s="205"/>
      <c r="K16" s="223" t="s">
        <v>24</v>
      </c>
      <c r="L16" s="223"/>
      <c r="M16" s="202" t="s">
        <v>72</v>
      </c>
      <c r="N16" s="225"/>
      <c r="O16" s="84"/>
      <c r="P16" s="42" t="s">
        <v>51</v>
      </c>
      <c r="Q16" s="206" t="s">
        <v>52</v>
      </c>
      <c r="R16" s="206"/>
      <c r="S16" s="219" t="s">
        <v>53</v>
      </c>
      <c r="T16" s="220"/>
      <c r="U16" s="220"/>
      <c r="V16" s="221"/>
      <c r="W16" s="222"/>
      <c r="X16" s="207" t="s">
        <v>54</v>
      </c>
      <c r="Y16" s="207"/>
      <c r="Z16" s="219" t="s">
        <v>73</v>
      </c>
      <c r="AA16" s="222"/>
    </row>
    <row r="17" spans="1:27" ht="26.25" customHeight="1">
      <c r="A17" s="3"/>
      <c r="B17" s="22" t="s">
        <v>0</v>
      </c>
      <c r="C17" s="16" t="s">
        <v>41</v>
      </c>
      <c r="D17" s="49" t="s">
        <v>18</v>
      </c>
      <c r="E17" s="49" t="s">
        <v>19</v>
      </c>
      <c r="F17" s="17" t="s">
        <v>26</v>
      </c>
      <c r="G17" s="17" t="s">
        <v>27</v>
      </c>
      <c r="H17" s="16" t="s">
        <v>59</v>
      </c>
      <c r="I17" s="50" t="s">
        <v>20</v>
      </c>
      <c r="J17" s="49" t="s">
        <v>21</v>
      </c>
      <c r="K17" s="17" t="s">
        <v>22</v>
      </c>
      <c r="L17" s="82" t="s">
        <v>28</v>
      </c>
      <c r="M17" s="50" t="s">
        <v>76</v>
      </c>
      <c r="N17" s="50" t="s">
        <v>77</v>
      </c>
      <c r="O17" s="85"/>
      <c r="P17" s="16" t="s">
        <v>42</v>
      </c>
      <c r="Q17" s="50" t="s">
        <v>43</v>
      </c>
      <c r="R17" s="50" t="s">
        <v>14</v>
      </c>
      <c r="S17" s="16" t="s">
        <v>44</v>
      </c>
      <c r="T17" s="16" t="s">
        <v>45</v>
      </c>
      <c r="U17" s="16" t="s">
        <v>59</v>
      </c>
      <c r="V17" s="50" t="s">
        <v>46</v>
      </c>
      <c r="W17" s="50" t="s">
        <v>47</v>
      </c>
      <c r="X17" s="16" t="s">
        <v>48</v>
      </c>
      <c r="Y17" s="16" t="s">
        <v>49</v>
      </c>
      <c r="Z17" s="50" t="s">
        <v>76</v>
      </c>
      <c r="AA17" s="50" t="s">
        <v>78</v>
      </c>
    </row>
    <row r="18" spans="1:27" ht="12.75">
      <c r="A18" s="6"/>
      <c r="B18" s="23">
        <v>0</v>
      </c>
      <c r="C18" s="77">
        <v>0</v>
      </c>
      <c r="D18" s="18">
        <f>$I$2*COS(PI()*C18/180)</f>
        <v>15</v>
      </c>
      <c r="E18" s="18">
        <f>$I$2*SIN(PI()*C18/180)</f>
        <v>0</v>
      </c>
      <c r="F18" s="18">
        <f>(2*TAN(PI()/180*$I$7)*$I$8-2*$I$2*COS(PI()/180*C18)-2*$I$2*TAN(PI()/180*$I$7)*SIN(PI()/180*C18))/(1+TAN(PI()/180*$I$7)^2)</f>
        <v>-30</v>
      </c>
      <c r="G18" s="77">
        <f>($I$8^2+$I$2^2-2*$I$2*$I$8*SIN(PI()/180*C18)-$I$3^2)/(1+TAN(PI()/180*$I$7)^2)</f>
        <v>-1375</v>
      </c>
      <c r="H18" s="77">
        <f>((F18/2)^2-G18)^0.5</f>
        <v>40</v>
      </c>
      <c r="I18" s="18">
        <f>-F18/2+$I$10*H18</f>
        <v>55</v>
      </c>
      <c r="J18" s="18">
        <f>TAN(PI()/180*$I$7)*I18+$I$8</f>
        <v>0</v>
      </c>
      <c r="K18" s="21">
        <f>(I18+$I$10*$I$11*$I$9*COS(PI()/180*$I$7))</f>
        <v>70</v>
      </c>
      <c r="L18" s="83">
        <f>J18+$I$10*$I$11*$I$9*SIN(PI()*$I$7/180)</f>
        <v>0</v>
      </c>
      <c r="M18" s="21">
        <f>(((I18-$I$5)^2+(J18-$I$6)^2)^0.5-(($I$68-$I$5)^2+($J$68-$I$6)^2)^0.5)</f>
        <v>30</v>
      </c>
      <c r="N18" s="21">
        <f>M18/$I$2</f>
        <v>2</v>
      </c>
      <c r="O18" s="86"/>
      <c r="P18" s="77">
        <f>C18+$V$4</f>
        <v>0</v>
      </c>
      <c r="Q18" s="18">
        <f>$V$2*COS(PI()/180*P18)</f>
        <v>15</v>
      </c>
      <c r="R18" s="18">
        <f>$V$2*SIN(PI()/180*P18)</f>
        <v>0</v>
      </c>
      <c r="S18" s="18">
        <f>(2*TAN(PI()/180*$V$7)*$V$8-2*$V$2*COS(PI()/180*P18)-2*$V$2*TAN(PI()/180*$V$7)*SIN(PI()/180*P18))/(1+TAN(PI()/180*$V$7)^2)</f>
        <v>-1.1257415524237342E-31</v>
      </c>
      <c r="T18" s="77">
        <f>($V$8^2+$V$2^2-2*$V$2*$V$8*SIN(PI()/180*P18)-$V$3^2)/(1+TAN(PI()/180*$V$7)^2)</f>
        <v>-5.159648781942116E-30</v>
      </c>
      <c r="U18" s="77">
        <f>((S18/2)^2-T18)^0.5</f>
        <v>2.2714860294402244E-15</v>
      </c>
      <c r="V18" s="18">
        <f>-S18/2+$V$10*U18</f>
        <v>2.2714860294402244E-15</v>
      </c>
      <c r="W18" s="18">
        <f>TAN(PI()/180*$V$7)*V18+$V$8</f>
        <v>37.080992435478315</v>
      </c>
      <c r="X18" s="21">
        <f>V18+$V$10*$V$11*$V$9*COS(PI()/180*$V$7)</f>
        <v>3.1903473706216894E-15</v>
      </c>
      <c r="Y18" s="21">
        <f>W18+$V$10*$V$11*$V$9*SIN(PI()*$V$7/180)</f>
        <v>52.080992435478315</v>
      </c>
      <c r="Z18" s="21">
        <f aca="true" t="shared" si="0" ref="Z18:Z66">(((V18-$V$5)^2+(W18-$V$6)^2)^0.5-(($V$68-$V$5)^2+($W$68-$V$6)^2)^0.5)</f>
        <v>12.080992435478315</v>
      </c>
      <c r="AA18" s="21">
        <f>Z18/$I$2</f>
        <v>0.8053994956985543</v>
      </c>
    </row>
    <row r="19" spans="2:27" ht="12.75">
      <c r="B19" s="24">
        <v>1</v>
      </c>
      <c r="C19" s="29">
        <v>7.5</v>
      </c>
      <c r="D19" s="21">
        <f aca="true" t="shared" si="1" ref="D19:D66">$I$2*COS(PI()*C19/180)</f>
        <v>14.871672920607155</v>
      </c>
      <c r="E19" s="21">
        <f aca="true" t="shared" si="2" ref="E19:E66">$I$2*SIN(PI()*C19/180)</f>
        <v>1.9578928833007736</v>
      </c>
      <c r="F19" s="21">
        <f aca="true" t="shared" si="3" ref="F19:F66">(2*TAN(PI()/180*$I$7)*$I$8-2*$I$2*COS(PI()/180*C19)-2*$I$2*TAN(PI()/180*$I$7)*SIN(PI()/180*C19))/(1+TAN(PI()/180*$I$7)^2)</f>
        <v>-29.74334584121431</v>
      </c>
      <c r="G19" s="29">
        <f aca="true" t="shared" si="4" ref="G19:G66">($I$8^2+$I$2^2-2*$I$2*$I$8*SIN(PI()/180*C19)-$I$3^2)/(1+TAN(PI()/180*$I$7)^2)</f>
        <v>-1375</v>
      </c>
      <c r="H19" s="29">
        <f aca="true" t="shared" si="5" ref="H19:H66">((F19/2)^2-G19)^0.5</f>
        <v>39.95205445853217</v>
      </c>
      <c r="I19" s="21">
        <f aca="true" t="shared" si="6" ref="I19:I66">-F19/2+$I$10*H19</f>
        <v>54.82372737913932</v>
      </c>
      <c r="J19" s="21">
        <f aca="true" t="shared" si="7" ref="J19:J66">TAN(PI()/180*$I$7)*I19+$I$8</f>
        <v>0</v>
      </c>
      <c r="K19" s="21">
        <f aca="true" t="shared" si="8" ref="K19:K66">(I19+$I$10*$I$11*$I$9*COS(PI()/180*$I$7))</f>
        <v>69.82372737913931</v>
      </c>
      <c r="L19" s="83">
        <f aca="true" t="shared" si="9" ref="L19:L66">J19+$I$10*$I$11*$I$9*SIN(PI()*$I$7/180)</f>
        <v>0</v>
      </c>
      <c r="M19" s="21">
        <f aca="true" t="shared" si="10" ref="M19:M66">(((I19-$I$5)^2+(J19-$I$6)^2)^0.5-(($I$68-$I$5)^2+($J$68-$I$6)^2)^0.5)</f>
        <v>29.82372737913932</v>
      </c>
      <c r="N19" s="21">
        <f aca="true" t="shared" si="11" ref="N19:N66">M19/$I$2</f>
        <v>1.9882484919426213</v>
      </c>
      <c r="O19" s="86"/>
      <c r="P19" s="43">
        <f aca="true" t="shared" si="12" ref="P19:P66">C19+$I$4</f>
        <v>7.5</v>
      </c>
      <c r="Q19" s="21">
        <f aca="true" t="shared" si="13" ref="Q19:Q66">$V$2*COS(PI()/180*P19)</f>
        <v>14.871672920607155</v>
      </c>
      <c r="R19" s="21">
        <f aca="true" t="shared" si="14" ref="R19:R66">$V$2*SIN(PI()/180*P19)</f>
        <v>1.9578928833007736</v>
      </c>
      <c r="S19" s="21">
        <f aca="true" t="shared" si="15" ref="S19:S66">(2*TAN(PI()/180*$V$7)*$V$8-2*$V$2*COS(PI()/180*P19)-2*$V$2*TAN(PI()/180*$V$7)*SIN(PI()/180*P19))/(1+TAN(PI()/180*$V$7)^2)</f>
        <v>-2.3987094408525274E-16</v>
      </c>
      <c r="T19" s="29">
        <f aca="true" t="shared" si="16" ref="T19:T66">($V$8^2+$V$2^2-2*$V$2*$V$8*SIN(PI()/180*P19)-$V$3^2)/(1+TAN(PI()/180*$V$7)^2)</f>
        <v>-5.159648781942116E-30</v>
      </c>
      <c r="U19" s="29">
        <f aca="true" t="shared" si="17" ref="U19:U66">((S19/2)^2-T19)^0.5</f>
        <v>2.2746501487912824E-15</v>
      </c>
      <c r="V19" s="21">
        <f aca="true" t="shared" si="18" ref="V19:V66">-S19/2+$V$10*U19</f>
        <v>2.394585620833909E-15</v>
      </c>
      <c r="W19" s="21">
        <f aca="true" t="shared" si="19" ref="W19:W66">TAN(PI()/180*$V$7)*V19+$V$8</f>
        <v>39.090538150538066</v>
      </c>
      <c r="X19" s="21">
        <f aca="true" t="shared" si="20" ref="X19:X66">V19+$V$10*$V$11*$V$9*COS(PI()/180*$V$7)</f>
        <v>3.313446962015374E-15</v>
      </c>
      <c r="Y19" s="21">
        <f aca="true" t="shared" si="21" ref="Y19:Y66">W19+$V$10*$V$11*$V$9*SIN(PI()*$V$7/180)</f>
        <v>54.090538150538066</v>
      </c>
      <c r="Z19" s="21">
        <f t="shared" si="0"/>
        <v>14.090538150538066</v>
      </c>
      <c r="AA19" s="21">
        <f aca="true" t="shared" si="22" ref="AA19:AA66">Z19/$I$2</f>
        <v>0.939369210035871</v>
      </c>
    </row>
    <row r="20" spans="2:27" ht="12.75">
      <c r="B20" s="24">
        <v>2</v>
      </c>
      <c r="C20" s="29">
        <v>15</v>
      </c>
      <c r="D20" s="21">
        <f t="shared" si="1"/>
        <v>14.488887394336025</v>
      </c>
      <c r="E20" s="21">
        <f t="shared" si="2"/>
        <v>3.882285676537811</v>
      </c>
      <c r="F20" s="21">
        <f t="shared" si="3"/>
        <v>-28.97777478867205</v>
      </c>
      <c r="G20" s="29">
        <f t="shared" si="4"/>
        <v>-1375</v>
      </c>
      <c r="H20" s="29">
        <f t="shared" si="5"/>
        <v>39.811152431520355</v>
      </c>
      <c r="I20" s="21">
        <f t="shared" si="6"/>
        <v>54.30003982585638</v>
      </c>
      <c r="J20" s="21">
        <f t="shared" si="7"/>
        <v>0</v>
      </c>
      <c r="K20" s="21">
        <f t="shared" si="8"/>
        <v>69.30003982585637</v>
      </c>
      <c r="L20" s="83">
        <f t="shared" si="9"/>
        <v>0</v>
      </c>
      <c r="M20" s="21">
        <f t="shared" si="10"/>
        <v>29.30003982585638</v>
      </c>
      <c r="N20" s="21">
        <f t="shared" si="11"/>
        <v>1.9533359883904253</v>
      </c>
      <c r="O20" s="86"/>
      <c r="P20" s="43">
        <f t="shared" si="12"/>
        <v>15</v>
      </c>
      <c r="Q20" s="21">
        <f t="shared" si="13"/>
        <v>14.488887394336025</v>
      </c>
      <c r="R20" s="21">
        <f t="shared" si="14"/>
        <v>3.882285676537811</v>
      </c>
      <c r="S20" s="21">
        <f t="shared" si="15"/>
        <v>-4.756376298124168E-16</v>
      </c>
      <c r="T20" s="29">
        <f t="shared" si="16"/>
        <v>-5.159648781942116E-30</v>
      </c>
      <c r="U20" s="29">
        <f t="shared" si="17"/>
        <v>2.2839016114240797E-15</v>
      </c>
      <c r="V20" s="21">
        <f t="shared" si="18"/>
        <v>2.521720426330288E-15</v>
      </c>
      <c r="W20" s="21">
        <f t="shared" si="19"/>
        <v>41.16595692916864</v>
      </c>
      <c r="X20" s="21">
        <f t="shared" si="20"/>
        <v>3.440581767511753E-15</v>
      </c>
      <c r="Y20" s="21">
        <f t="shared" si="21"/>
        <v>56.16595692916864</v>
      </c>
      <c r="Z20" s="21">
        <f t="shared" si="0"/>
        <v>16.165956929168637</v>
      </c>
      <c r="AA20" s="21">
        <f t="shared" si="22"/>
        <v>1.0777304619445758</v>
      </c>
    </row>
    <row r="21" spans="2:27" ht="12.75">
      <c r="B21" s="24">
        <v>3</v>
      </c>
      <c r="C21" s="29">
        <v>22.5</v>
      </c>
      <c r="D21" s="21">
        <f t="shared" si="1"/>
        <v>13.858192987669302</v>
      </c>
      <c r="E21" s="21">
        <f t="shared" si="2"/>
        <v>5.740251485476347</v>
      </c>
      <c r="F21" s="21">
        <f t="shared" si="3"/>
        <v>-27.716385975338603</v>
      </c>
      <c r="G21" s="29">
        <f t="shared" si="4"/>
        <v>-1375</v>
      </c>
      <c r="H21" s="29">
        <f t="shared" si="5"/>
        <v>39.58597621486032</v>
      </c>
      <c r="I21" s="21">
        <f t="shared" si="6"/>
        <v>53.44416920252962</v>
      </c>
      <c r="J21" s="21">
        <f t="shared" si="7"/>
        <v>0</v>
      </c>
      <c r="K21" s="21">
        <f t="shared" si="8"/>
        <v>68.44416920252962</v>
      </c>
      <c r="L21" s="83">
        <f t="shared" si="9"/>
        <v>0</v>
      </c>
      <c r="M21" s="21">
        <f t="shared" si="10"/>
        <v>28.444169202529622</v>
      </c>
      <c r="N21" s="21">
        <f t="shared" si="11"/>
        <v>1.8962779468353081</v>
      </c>
      <c r="O21" s="86"/>
      <c r="P21" s="43">
        <f t="shared" si="12"/>
        <v>22.5</v>
      </c>
      <c r="Q21" s="21">
        <f t="shared" si="13"/>
        <v>13.858192987669302</v>
      </c>
      <c r="R21" s="21">
        <f t="shared" si="14"/>
        <v>5.740251485476347</v>
      </c>
      <c r="S21" s="21">
        <f t="shared" si="15"/>
        <v>-7.032660238218258E-16</v>
      </c>
      <c r="T21" s="29">
        <f t="shared" si="16"/>
        <v>-5.159648781942116E-30</v>
      </c>
      <c r="U21" s="29">
        <f t="shared" si="17"/>
        <v>2.2985418327730423E-15</v>
      </c>
      <c r="V21" s="21">
        <f t="shared" si="18"/>
        <v>2.6501748446839552E-15</v>
      </c>
      <c r="W21" s="21">
        <f t="shared" si="19"/>
        <v>43.262917796874234</v>
      </c>
      <c r="X21" s="21">
        <f t="shared" si="20"/>
        <v>3.56903618586542E-15</v>
      </c>
      <c r="Y21" s="21">
        <f t="shared" si="21"/>
        <v>58.262917796874234</v>
      </c>
      <c r="Z21" s="21">
        <f t="shared" si="0"/>
        <v>18.262917796874234</v>
      </c>
      <c r="AA21" s="21">
        <f t="shared" si="22"/>
        <v>1.217527853124949</v>
      </c>
    </row>
    <row r="22" spans="2:27" ht="12.75">
      <c r="B22" s="24">
        <v>4</v>
      </c>
      <c r="C22" s="29">
        <v>30</v>
      </c>
      <c r="D22" s="21">
        <f t="shared" si="1"/>
        <v>12.99038105676658</v>
      </c>
      <c r="E22" s="21">
        <f t="shared" si="2"/>
        <v>7.499999999999999</v>
      </c>
      <c r="F22" s="21">
        <f t="shared" si="3"/>
        <v>-25.98076211353316</v>
      </c>
      <c r="G22" s="29">
        <f t="shared" si="4"/>
        <v>-1375</v>
      </c>
      <c r="H22" s="29">
        <f t="shared" si="5"/>
        <v>39.29058411375428</v>
      </c>
      <c r="I22" s="21">
        <f t="shared" si="6"/>
        <v>52.28096517052086</v>
      </c>
      <c r="J22" s="21">
        <f t="shared" si="7"/>
        <v>0</v>
      </c>
      <c r="K22" s="21">
        <f t="shared" si="8"/>
        <v>67.28096517052086</v>
      </c>
      <c r="L22" s="83">
        <f t="shared" si="9"/>
        <v>0</v>
      </c>
      <c r="M22" s="21">
        <f t="shared" si="10"/>
        <v>27.280965170520858</v>
      </c>
      <c r="N22" s="21">
        <f t="shared" si="11"/>
        <v>1.8187310113680573</v>
      </c>
      <c r="O22" s="86"/>
      <c r="P22" s="43">
        <f t="shared" si="12"/>
        <v>30</v>
      </c>
      <c r="Q22" s="21">
        <f t="shared" si="13"/>
        <v>12.99038105676658</v>
      </c>
      <c r="R22" s="21">
        <f t="shared" si="14"/>
        <v>7.499999999999999</v>
      </c>
      <c r="S22" s="21">
        <f t="shared" si="15"/>
        <v>-9.18861341181465E-16</v>
      </c>
      <c r="T22" s="29">
        <f t="shared" si="16"/>
        <v>-5.159648781942116E-30</v>
      </c>
      <c r="U22" s="29">
        <f t="shared" si="17"/>
        <v>2.317482539960456E-15</v>
      </c>
      <c r="V22" s="21">
        <f t="shared" si="18"/>
        <v>2.7769132105511884E-15</v>
      </c>
      <c r="W22" s="21">
        <f t="shared" si="19"/>
        <v>45.33186487605389</v>
      </c>
      <c r="X22" s="21">
        <f t="shared" si="20"/>
        <v>3.695774551732654E-15</v>
      </c>
      <c r="Y22" s="21">
        <f t="shared" si="21"/>
        <v>60.33186487605389</v>
      </c>
      <c r="Z22" s="21">
        <f t="shared" si="0"/>
        <v>20.331864876053892</v>
      </c>
      <c r="AA22" s="21">
        <f t="shared" si="22"/>
        <v>1.355457658403593</v>
      </c>
    </row>
    <row r="23" spans="2:27" ht="12.75">
      <c r="B23" s="24">
        <v>5</v>
      </c>
      <c r="C23" s="29">
        <v>37.5</v>
      </c>
      <c r="D23" s="21">
        <f t="shared" si="1"/>
        <v>11.900300104368528</v>
      </c>
      <c r="E23" s="21">
        <f t="shared" si="2"/>
        <v>9.13142143513081</v>
      </c>
      <c r="F23" s="21">
        <f t="shared" si="3"/>
        <v>-23.800600208737055</v>
      </c>
      <c r="G23" s="29">
        <f t="shared" si="4"/>
        <v>-1375</v>
      </c>
      <c r="H23" s="29">
        <f t="shared" si="5"/>
        <v>38.943768982650276</v>
      </c>
      <c r="I23" s="21">
        <f t="shared" si="6"/>
        <v>50.8440690870188</v>
      </c>
      <c r="J23" s="21">
        <f t="shared" si="7"/>
        <v>0</v>
      </c>
      <c r="K23" s="21">
        <f t="shared" si="8"/>
        <v>65.8440690870188</v>
      </c>
      <c r="L23" s="83">
        <f t="shared" si="9"/>
        <v>0</v>
      </c>
      <c r="M23" s="21">
        <f t="shared" si="10"/>
        <v>25.844069087018802</v>
      </c>
      <c r="N23" s="21">
        <f t="shared" si="11"/>
        <v>1.7229379391345867</v>
      </c>
      <c r="O23" s="86"/>
      <c r="P23" s="43">
        <f t="shared" si="12"/>
        <v>37.5</v>
      </c>
      <c r="Q23" s="21">
        <f t="shared" si="13"/>
        <v>11.900300104368528</v>
      </c>
      <c r="R23" s="21">
        <f t="shared" si="14"/>
        <v>9.13142143513081</v>
      </c>
      <c r="S23" s="21">
        <f t="shared" si="15"/>
        <v>-1.1187346862369967E-15</v>
      </c>
      <c r="T23" s="29">
        <f t="shared" si="16"/>
        <v>-5.159648781942116E-30</v>
      </c>
      <c r="U23" s="29">
        <f t="shared" si="17"/>
        <v>2.3393461920993146E-15</v>
      </c>
      <c r="V23" s="21">
        <f t="shared" si="18"/>
        <v>2.898713535217813E-15</v>
      </c>
      <c r="W23" s="21">
        <f t="shared" si="19"/>
        <v>47.32020064350518</v>
      </c>
      <c r="X23" s="21">
        <f t="shared" si="20"/>
        <v>3.8175748763992785E-15</v>
      </c>
      <c r="Y23" s="21">
        <f t="shared" si="21"/>
        <v>62.32020064350518</v>
      </c>
      <c r="Z23" s="21">
        <f t="shared" si="0"/>
        <v>22.32020064350518</v>
      </c>
      <c r="AA23" s="21">
        <f t="shared" si="22"/>
        <v>1.4880133762336787</v>
      </c>
    </row>
    <row r="24" spans="2:27" ht="12.75">
      <c r="B24" s="24">
        <v>6</v>
      </c>
      <c r="C24" s="29">
        <v>45</v>
      </c>
      <c r="D24" s="21">
        <f t="shared" si="1"/>
        <v>10.606601717798213</v>
      </c>
      <c r="E24" s="21">
        <f t="shared" si="2"/>
        <v>10.606601717798211</v>
      </c>
      <c r="F24" s="21">
        <f t="shared" si="3"/>
        <v>-21.213203435596427</v>
      </c>
      <c r="G24" s="29">
        <f t="shared" si="4"/>
        <v>-1375</v>
      </c>
      <c r="H24" s="29">
        <f t="shared" si="5"/>
        <v>38.568121551353784</v>
      </c>
      <c r="I24" s="21">
        <f t="shared" si="6"/>
        <v>49.174723269152</v>
      </c>
      <c r="J24" s="21">
        <f t="shared" si="7"/>
        <v>0</v>
      </c>
      <c r="K24" s="21">
        <f t="shared" si="8"/>
        <v>64.174723269152</v>
      </c>
      <c r="L24" s="83">
        <f t="shared" si="9"/>
        <v>0</v>
      </c>
      <c r="M24" s="21">
        <f t="shared" si="10"/>
        <v>24.174723269151997</v>
      </c>
      <c r="N24" s="21">
        <f t="shared" si="11"/>
        <v>1.6116482179434664</v>
      </c>
      <c r="O24" s="86"/>
      <c r="P24" s="43">
        <f t="shared" si="12"/>
        <v>45</v>
      </c>
      <c r="Q24" s="21">
        <f t="shared" si="13"/>
        <v>10.606601717798213</v>
      </c>
      <c r="R24" s="21">
        <f t="shared" si="14"/>
        <v>10.606601717798211</v>
      </c>
      <c r="S24" s="21">
        <f t="shared" si="15"/>
        <v>-1.2994661706391595E-15</v>
      </c>
      <c r="T24" s="29">
        <f t="shared" si="16"/>
        <v>-5.159648781942116E-30</v>
      </c>
      <c r="U24" s="29">
        <f t="shared" si="17"/>
        <v>2.362583726368447E-15</v>
      </c>
      <c r="V24" s="21">
        <f t="shared" si="18"/>
        <v>3.0123168116880264E-15</v>
      </c>
      <c r="W24" s="21">
        <f t="shared" si="19"/>
        <v>49.174723269152</v>
      </c>
      <c r="X24" s="21">
        <f t="shared" si="20"/>
        <v>3.9311781528694915E-15</v>
      </c>
      <c r="Y24" s="21">
        <f t="shared" si="21"/>
        <v>64.174723269152</v>
      </c>
      <c r="Z24" s="21">
        <f t="shared" si="0"/>
        <v>24.174723269151997</v>
      </c>
      <c r="AA24" s="21">
        <f t="shared" si="22"/>
        <v>1.6116482179434664</v>
      </c>
    </row>
    <row r="25" spans="2:27" ht="12.75">
      <c r="B25" s="24">
        <v>7</v>
      </c>
      <c r="C25" s="29">
        <v>52.5</v>
      </c>
      <c r="D25" s="21">
        <f t="shared" si="1"/>
        <v>9.13142143513081</v>
      </c>
      <c r="E25" s="21">
        <f t="shared" si="2"/>
        <v>11.900300104368528</v>
      </c>
      <c r="F25" s="21">
        <f t="shared" si="3"/>
        <v>-18.26284287026162</v>
      </c>
      <c r="G25" s="29">
        <f t="shared" si="4"/>
        <v>-1375</v>
      </c>
      <c r="H25" s="29">
        <f t="shared" si="5"/>
        <v>38.18877920837437</v>
      </c>
      <c r="I25" s="21">
        <f t="shared" si="6"/>
        <v>47.32020064350518</v>
      </c>
      <c r="J25" s="21">
        <f t="shared" si="7"/>
        <v>0</v>
      </c>
      <c r="K25" s="21">
        <f t="shared" si="8"/>
        <v>62.32020064350518</v>
      </c>
      <c r="L25" s="83">
        <f t="shared" si="9"/>
        <v>0</v>
      </c>
      <c r="M25" s="21">
        <f t="shared" si="10"/>
        <v>22.32020064350518</v>
      </c>
      <c r="N25" s="21">
        <f t="shared" si="11"/>
        <v>1.4880133762336787</v>
      </c>
      <c r="O25" s="86"/>
      <c r="P25" s="43">
        <f t="shared" si="12"/>
        <v>52.5</v>
      </c>
      <c r="Q25" s="21">
        <f t="shared" si="13"/>
        <v>9.13142143513081</v>
      </c>
      <c r="R25" s="21">
        <f t="shared" si="14"/>
        <v>11.900300104368528</v>
      </c>
      <c r="S25" s="21">
        <f t="shared" si="15"/>
        <v>-1.457963428581599E-15</v>
      </c>
      <c r="T25" s="29">
        <f t="shared" si="16"/>
        <v>-5.159648781942116E-30</v>
      </c>
      <c r="U25" s="29">
        <f t="shared" si="17"/>
        <v>2.3855949198706115E-15</v>
      </c>
      <c r="V25" s="21">
        <f t="shared" si="18"/>
        <v>3.114576634161411E-15</v>
      </c>
      <c r="W25" s="21">
        <f t="shared" si="19"/>
        <v>50.8440690870188</v>
      </c>
      <c r="X25" s="21">
        <f t="shared" si="20"/>
        <v>4.033437975342876E-15</v>
      </c>
      <c r="Y25" s="21">
        <f t="shared" si="21"/>
        <v>65.8440690870188</v>
      </c>
      <c r="Z25" s="21">
        <f t="shared" si="0"/>
        <v>25.844069087018802</v>
      </c>
      <c r="AA25" s="21">
        <f t="shared" si="22"/>
        <v>1.7229379391345867</v>
      </c>
    </row>
    <row r="26" spans="2:27" ht="12.75">
      <c r="B26" s="24">
        <v>8</v>
      </c>
      <c r="C26" s="29">
        <v>60</v>
      </c>
      <c r="D26" s="21">
        <f t="shared" si="1"/>
        <v>7.500000000000002</v>
      </c>
      <c r="E26" s="21">
        <f t="shared" si="2"/>
        <v>12.990381056766578</v>
      </c>
      <c r="F26" s="21">
        <f t="shared" si="3"/>
        <v>-15.000000000000004</v>
      </c>
      <c r="G26" s="29">
        <f t="shared" si="4"/>
        <v>-1375</v>
      </c>
      <c r="H26" s="29">
        <f t="shared" si="5"/>
        <v>37.83186487605389</v>
      </c>
      <c r="I26" s="21">
        <f t="shared" si="6"/>
        <v>45.33186487605389</v>
      </c>
      <c r="J26" s="21">
        <f t="shared" si="7"/>
        <v>0</v>
      </c>
      <c r="K26" s="21">
        <f t="shared" si="8"/>
        <v>60.33186487605389</v>
      </c>
      <c r="L26" s="83">
        <f t="shared" si="9"/>
        <v>0</v>
      </c>
      <c r="M26" s="21">
        <f t="shared" si="10"/>
        <v>20.331864876053892</v>
      </c>
      <c r="N26" s="21">
        <f t="shared" si="11"/>
        <v>1.355457658403593</v>
      </c>
      <c r="O26" s="86"/>
      <c r="P26" s="43">
        <f t="shared" si="12"/>
        <v>60</v>
      </c>
      <c r="Q26" s="21">
        <f t="shared" si="13"/>
        <v>7.500000000000002</v>
      </c>
      <c r="R26" s="21">
        <f t="shared" si="14"/>
        <v>12.990381056766578</v>
      </c>
      <c r="S26" s="21">
        <f t="shared" si="15"/>
        <v>-1.591514528037178E-15</v>
      </c>
      <c r="T26" s="29">
        <f t="shared" si="16"/>
        <v>-5.159648781942116E-30</v>
      </c>
      <c r="U26" s="29">
        <f t="shared" si="17"/>
        <v>2.4068399209711614E-15</v>
      </c>
      <c r="V26" s="21">
        <f t="shared" si="18"/>
        <v>3.2025971849897505E-15</v>
      </c>
      <c r="W26" s="21">
        <f t="shared" si="19"/>
        <v>52.28096517052086</v>
      </c>
      <c r="X26" s="21">
        <f t="shared" si="20"/>
        <v>4.1214585261712155E-15</v>
      </c>
      <c r="Y26" s="21">
        <f t="shared" si="21"/>
        <v>67.28096517052086</v>
      </c>
      <c r="Z26" s="21">
        <f t="shared" si="0"/>
        <v>27.280965170520858</v>
      </c>
      <c r="AA26" s="21">
        <f t="shared" si="22"/>
        <v>1.8187310113680573</v>
      </c>
    </row>
    <row r="27" spans="2:27" ht="12.75">
      <c r="B27" s="24">
        <v>9</v>
      </c>
      <c r="C27" s="29">
        <v>67.5</v>
      </c>
      <c r="D27" s="21">
        <f t="shared" si="1"/>
        <v>5.740251485476348</v>
      </c>
      <c r="E27" s="21">
        <f t="shared" si="2"/>
        <v>13.858192987669302</v>
      </c>
      <c r="F27" s="21">
        <f t="shared" si="3"/>
        <v>-11.480502970952696</v>
      </c>
      <c r="G27" s="29">
        <f t="shared" si="4"/>
        <v>-1375</v>
      </c>
      <c r="H27" s="29">
        <f t="shared" si="5"/>
        <v>37.52266631139788</v>
      </c>
      <c r="I27" s="21">
        <f t="shared" si="6"/>
        <v>43.26291779687423</v>
      </c>
      <c r="J27" s="21">
        <f t="shared" si="7"/>
        <v>0</v>
      </c>
      <c r="K27" s="21">
        <f t="shared" si="8"/>
        <v>58.26291779687423</v>
      </c>
      <c r="L27" s="83">
        <f t="shared" si="9"/>
        <v>0</v>
      </c>
      <c r="M27" s="21">
        <f t="shared" si="10"/>
        <v>18.262917796874227</v>
      </c>
      <c r="N27" s="21">
        <f t="shared" si="11"/>
        <v>1.2175278531249485</v>
      </c>
      <c r="O27" s="86"/>
      <c r="P27" s="43">
        <f t="shared" si="12"/>
        <v>67.5</v>
      </c>
      <c r="Q27" s="21">
        <f t="shared" si="13"/>
        <v>5.740251485476348</v>
      </c>
      <c r="R27" s="21">
        <f t="shared" si="14"/>
        <v>13.858192987669302</v>
      </c>
      <c r="S27" s="21">
        <f t="shared" si="15"/>
        <v>-1.6978343726668518E-15</v>
      </c>
      <c r="T27" s="29">
        <f t="shared" si="16"/>
        <v>-5.159648781942116E-30</v>
      </c>
      <c r="U27" s="29">
        <f t="shared" si="17"/>
        <v>2.424934879784275E-15</v>
      </c>
      <c r="V27" s="21">
        <f t="shared" si="18"/>
        <v>3.273852066117701E-15</v>
      </c>
      <c r="W27" s="21">
        <f t="shared" si="19"/>
        <v>53.44416920252962</v>
      </c>
      <c r="X27" s="21">
        <f t="shared" si="20"/>
        <v>4.1927134072991655E-15</v>
      </c>
      <c r="Y27" s="21">
        <f t="shared" si="21"/>
        <v>68.44416920252962</v>
      </c>
      <c r="Z27" s="21">
        <f t="shared" si="0"/>
        <v>28.444169202529622</v>
      </c>
      <c r="AA27" s="21">
        <f t="shared" si="22"/>
        <v>1.8962779468353081</v>
      </c>
    </row>
    <row r="28" spans="2:27" ht="12.75">
      <c r="B28" s="24">
        <v>10</v>
      </c>
      <c r="C28" s="29">
        <v>75</v>
      </c>
      <c r="D28" s="21">
        <f t="shared" si="1"/>
        <v>3.882285676537811</v>
      </c>
      <c r="E28" s="21">
        <f t="shared" si="2"/>
        <v>14.488887394336025</v>
      </c>
      <c r="F28" s="21">
        <f t="shared" si="3"/>
        <v>-7.764571353075622</v>
      </c>
      <c r="G28" s="29">
        <f t="shared" si="4"/>
        <v>-1375</v>
      </c>
      <c r="H28" s="29">
        <f t="shared" si="5"/>
        <v>37.28367125263083</v>
      </c>
      <c r="I28" s="21">
        <f t="shared" si="6"/>
        <v>41.165956929168644</v>
      </c>
      <c r="J28" s="21">
        <f t="shared" si="7"/>
        <v>0</v>
      </c>
      <c r="K28" s="21">
        <f t="shared" si="8"/>
        <v>56.165956929168644</v>
      </c>
      <c r="L28" s="83">
        <f t="shared" si="9"/>
        <v>0</v>
      </c>
      <c r="M28" s="21">
        <f t="shared" si="10"/>
        <v>16.165956929168644</v>
      </c>
      <c r="N28" s="21">
        <f t="shared" si="11"/>
        <v>1.0777304619445762</v>
      </c>
      <c r="O28" s="86"/>
      <c r="P28" s="43">
        <f t="shared" si="12"/>
        <v>75</v>
      </c>
      <c r="Q28" s="21">
        <f t="shared" si="13"/>
        <v>3.882285676537811</v>
      </c>
      <c r="R28" s="21">
        <f t="shared" si="14"/>
        <v>14.488887394336025</v>
      </c>
      <c r="S28" s="21">
        <f t="shared" si="15"/>
        <v>-1.7751038004515762E-15</v>
      </c>
      <c r="T28" s="29">
        <f t="shared" si="16"/>
        <v>-5.159648781942116E-30</v>
      </c>
      <c r="U28" s="29">
        <f t="shared" si="17"/>
        <v>2.438728594480436E-15</v>
      </c>
      <c r="V28" s="21">
        <f t="shared" si="18"/>
        <v>3.3262804947062242E-15</v>
      </c>
      <c r="W28" s="21">
        <f t="shared" si="19"/>
        <v>54.30003982585639</v>
      </c>
      <c r="X28" s="21">
        <f t="shared" si="20"/>
        <v>4.245141835887689E-15</v>
      </c>
      <c r="Y28" s="21">
        <f t="shared" si="21"/>
        <v>69.30003982585639</v>
      </c>
      <c r="Z28" s="21">
        <f t="shared" si="0"/>
        <v>29.300039825856388</v>
      </c>
      <c r="AA28" s="21">
        <f t="shared" si="22"/>
        <v>1.9533359883904258</v>
      </c>
    </row>
    <row r="29" spans="2:27" ht="12.75">
      <c r="B29" s="24">
        <v>11</v>
      </c>
      <c r="C29" s="29">
        <v>82.5</v>
      </c>
      <c r="D29" s="21">
        <f t="shared" si="1"/>
        <v>1.9578928833007756</v>
      </c>
      <c r="E29" s="21">
        <f t="shared" si="2"/>
        <v>14.871672920607155</v>
      </c>
      <c r="F29" s="21">
        <f t="shared" si="3"/>
        <v>-3.915785766601551</v>
      </c>
      <c r="G29" s="29">
        <f t="shared" si="4"/>
        <v>-1375</v>
      </c>
      <c r="H29" s="29">
        <f t="shared" si="5"/>
        <v>37.13264526723729</v>
      </c>
      <c r="I29" s="21">
        <f t="shared" si="6"/>
        <v>39.09053815053806</v>
      </c>
      <c r="J29" s="21">
        <f t="shared" si="7"/>
        <v>0</v>
      </c>
      <c r="K29" s="21">
        <f t="shared" si="8"/>
        <v>54.09053815053806</v>
      </c>
      <c r="L29" s="83">
        <f t="shared" si="9"/>
        <v>0</v>
      </c>
      <c r="M29" s="21">
        <f t="shared" si="10"/>
        <v>14.090538150538059</v>
      </c>
      <c r="N29" s="21">
        <f t="shared" si="11"/>
        <v>0.9393692100358706</v>
      </c>
      <c r="O29" s="86"/>
      <c r="P29" s="43">
        <f t="shared" si="12"/>
        <v>82.5</v>
      </c>
      <c r="Q29" s="21">
        <f t="shared" si="13"/>
        <v>1.9578928833007756</v>
      </c>
      <c r="R29" s="21">
        <f t="shared" si="14"/>
        <v>14.871672920607155</v>
      </c>
      <c r="S29" s="21">
        <f t="shared" si="15"/>
        <v>-1.822000710058822E-15</v>
      </c>
      <c r="T29" s="29">
        <f t="shared" si="16"/>
        <v>-5.159648781942116E-30</v>
      </c>
      <c r="U29" s="29">
        <f t="shared" si="17"/>
        <v>2.4473598895147867E-15</v>
      </c>
      <c r="V29" s="21">
        <f t="shared" si="18"/>
        <v>3.3583602445441977E-15</v>
      </c>
      <c r="W29" s="21">
        <f t="shared" si="19"/>
        <v>54.82372737913933</v>
      </c>
      <c r="X29" s="21">
        <f t="shared" si="20"/>
        <v>4.277221585725663E-15</v>
      </c>
      <c r="Y29" s="21">
        <f t="shared" si="21"/>
        <v>69.82372737913933</v>
      </c>
      <c r="Z29" s="21">
        <f t="shared" si="0"/>
        <v>29.823727379139328</v>
      </c>
      <c r="AA29" s="21">
        <f t="shared" si="22"/>
        <v>1.9882484919426218</v>
      </c>
    </row>
    <row r="30" spans="1:27" ht="12.75">
      <c r="A30" s="6"/>
      <c r="B30" s="23">
        <v>12</v>
      </c>
      <c r="C30" s="77">
        <v>90</v>
      </c>
      <c r="D30" s="18">
        <f t="shared" si="1"/>
        <v>9.18861341181465E-16</v>
      </c>
      <c r="E30" s="18">
        <f t="shared" si="2"/>
        <v>15</v>
      </c>
      <c r="F30" s="18">
        <f t="shared" si="3"/>
        <v>-1.83772268236293E-15</v>
      </c>
      <c r="G30" s="77">
        <f t="shared" si="4"/>
        <v>-1375</v>
      </c>
      <c r="H30" s="77">
        <f t="shared" si="5"/>
        <v>37.080992435478315</v>
      </c>
      <c r="I30" s="18">
        <f t="shared" si="6"/>
        <v>37.080992435478315</v>
      </c>
      <c r="J30" s="18">
        <f t="shared" si="7"/>
        <v>0</v>
      </c>
      <c r="K30" s="21">
        <f t="shared" si="8"/>
        <v>52.080992435478315</v>
      </c>
      <c r="L30" s="83">
        <f t="shared" si="9"/>
        <v>0</v>
      </c>
      <c r="M30" s="21">
        <f t="shared" si="10"/>
        <v>12.080992435478315</v>
      </c>
      <c r="N30" s="21">
        <f t="shared" si="11"/>
        <v>0.8053994956985543</v>
      </c>
      <c r="O30" s="86"/>
      <c r="P30" s="77">
        <f t="shared" si="12"/>
        <v>90</v>
      </c>
      <c r="Q30" s="18">
        <f t="shared" si="13"/>
        <v>9.18861341181465E-16</v>
      </c>
      <c r="R30" s="18">
        <f t="shared" si="14"/>
        <v>15</v>
      </c>
      <c r="S30" s="18">
        <f t="shared" si="15"/>
        <v>-1.83772268236293E-15</v>
      </c>
      <c r="T30" s="77">
        <f t="shared" si="16"/>
        <v>-5.159648781942116E-30</v>
      </c>
      <c r="U30" s="77">
        <f t="shared" si="17"/>
        <v>2.45029690981724E-15</v>
      </c>
      <c r="V30" s="18">
        <f t="shared" si="18"/>
        <v>3.369158250998705E-15</v>
      </c>
      <c r="W30" s="18">
        <f t="shared" si="19"/>
        <v>55</v>
      </c>
      <c r="X30" s="21">
        <f t="shared" si="20"/>
        <v>4.28801959218017E-15</v>
      </c>
      <c r="Y30" s="21">
        <f t="shared" si="21"/>
        <v>70</v>
      </c>
      <c r="Z30" s="21">
        <f t="shared" si="0"/>
        <v>30</v>
      </c>
      <c r="AA30" s="21">
        <f t="shared" si="22"/>
        <v>2</v>
      </c>
    </row>
    <row r="31" spans="2:27" ht="12.75">
      <c r="B31" s="24">
        <v>13</v>
      </c>
      <c r="C31" s="29">
        <v>97.5</v>
      </c>
      <c r="D31" s="21">
        <f t="shared" si="1"/>
        <v>-1.9578928833007707</v>
      </c>
      <c r="E31" s="21">
        <f t="shared" si="2"/>
        <v>14.871672920607157</v>
      </c>
      <c r="F31" s="21">
        <f t="shared" si="3"/>
        <v>3.915785766601548</v>
      </c>
      <c r="G31" s="29">
        <f t="shared" si="4"/>
        <v>-1375</v>
      </c>
      <c r="H31" s="29">
        <f t="shared" si="5"/>
        <v>37.13264526723729</v>
      </c>
      <c r="I31" s="21">
        <f t="shared" si="6"/>
        <v>35.174752383936514</v>
      </c>
      <c r="J31" s="21">
        <f t="shared" si="7"/>
        <v>0</v>
      </c>
      <c r="K31" s="21">
        <f t="shared" si="8"/>
        <v>50.174752383936514</v>
      </c>
      <c r="L31" s="83">
        <f t="shared" si="9"/>
        <v>0</v>
      </c>
      <c r="M31" s="21">
        <f t="shared" si="10"/>
        <v>10.174752383936514</v>
      </c>
      <c r="N31" s="21">
        <f t="shared" si="11"/>
        <v>0.6783168255957677</v>
      </c>
      <c r="O31" s="86"/>
      <c r="P31" s="43">
        <f t="shared" si="12"/>
        <v>97.5</v>
      </c>
      <c r="Q31" s="21">
        <f t="shared" si="13"/>
        <v>-1.957892883300774</v>
      </c>
      <c r="R31" s="21">
        <f t="shared" si="14"/>
        <v>14.871672920607155</v>
      </c>
      <c r="S31" s="21">
        <f t="shared" si="15"/>
        <v>-1.822000710058822E-15</v>
      </c>
      <c r="T31" s="29">
        <f t="shared" si="16"/>
        <v>-5.159648781942116E-30</v>
      </c>
      <c r="U31" s="29">
        <f t="shared" si="17"/>
        <v>2.4473598895147867E-15</v>
      </c>
      <c r="V31" s="21">
        <f t="shared" si="18"/>
        <v>3.3583602445441977E-15</v>
      </c>
      <c r="W31" s="21">
        <f t="shared" si="19"/>
        <v>54.82372737913933</v>
      </c>
      <c r="X31" s="21">
        <f t="shared" si="20"/>
        <v>4.277221585725663E-15</v>
      </c>
      <c r="Y31" s="21">
        <f t="shared" si="21"/>
        <v>69.82372737913933</v>
      </c>
      <c r="Z31" s="21">
        <f t="shared" si="0"/>
        <v>29.823727379139328</v>
      </c>
      <c r="AA31" s="21">
        <f t="shared" si="22"/>
        <v>1.9882484919426218</v>
      </c>
    </row>
    <row r="32" spans="2:27" ht="12.75">
      <c r="B32" s="24">
        <v>14</v>
      </c>
      <c r="C32" s="29">
        <v>105</v>
      </c>
      <c r="D32" s="21">
        <f t="shared" si="1"/>
        <v>-3.882285676537813</v>
      </c>
      <c r="E32" s="21">
        <f t="shared" si="2"/>
        <v>14.488887394336025</v>
      </c>
      <c r="F32" s="21">
        <f t="shared" si="3"/>
        <v>7.764571353075626</v>
      </c>
      <c r="G32" s="29">
        <f t="shared" si="4"/>
        <v>-1375</v>
      </c>
      <c r="H32" s="29">
        <f t="shared" si="5"/>
        <v>37.28367125263083</v>
      </c>
      <c r="I32" s="21">
        <f t="shared" si="6"/>
        <v>33.40138557609302</v>
      </c>
      <c r="J32" s="21">
        <f t="shared" si="7"/>
        <v>0</v>
      </c>
      <c r="K32" s="21">
        <f t="shared" si="8"/>
        <v>48.40138557609302</v>
      </c>
      <c r="L32" s="83">
        <f t="shared" si="9"/>
        <v>0</v>
      </c>
      <c r="M32" s="21">
        <f t="shared" si="10"/>
        <v>8.40138557609302</v>
      </c>
      <c r="N32" s="21">
        <f t="shared" si="11"/>
        <v>0.5600923717395346</v>
      </c>
      <c r="O32" s="86"/>
      <c r="P32" s="43">
        <f t="shared" si="12"/>
        <v>105</v>
      </c>
      <c r="Q32" s="21">
        <f t="shared" si="13"/>
        <v>-3.882285676537813</v>
      </c>
      <c r="R32" s="21">
        <f t="shared" si="14"/>
        <v>14.488887394336025</v>
      </c>
      <c r="S32" s="21">
        <f t="shared" si="15"/>
        <v>-1.7751038004515762E-15</v>
      </c>
      <c r="T32" s="29">
        <f t="shared" si="16"/>
        <v>-5.159648781942116E-30</v>
      </c>
      <c r="U32" s="29">
        <f t="shared" si="17"/>
        <v>2.438728594480436E-15</v>
      </c>
      <c r="V32" s="21">
        <f t="shared" si="18"/>
        <v>3.3262804947062242E-15</v>
      </c>
      <c r="W32" s="21">
        <f t="shared" si="19"/>
        <v>54.30003982585639</v>
      </c>
      <c r="X32" s="21">
        <f t="shared" si="20"/>
        <v>4.245141835887689E-15</v>
      </c>
      <c r="Y32" s="21">
        <f t="shared" si="21"/>
        <v>69.30003982585639</v>
      </c>
      <c r="Z32" s="21">
        <f t="shared" si="0"/>
        <v>29.300039825856388</v>
      </c>
      <c r="AA32" s="21">
        <f t="shared" si="22"/>
        <v>1.9533359883904258</v>
      </c>
    </row>
    <row r="33" spans="2:27" ht="12.75">
      <c r="B33" s="24">
        <v>15</v>
      </c>
      <c r="C33" s="29">
        <v>112.5</v>
      </c>
      <c r="D33" s="21">
        <f t="shared" si="1"/>
        <v>-5.740251485476346</v>
      </c>
      <c r="E33" s="21">
        <f t="shared" si="2"/>
        <v>13.858192987669302</v>
      </c>
      <c r="F33" s="21">
        <f t="shared" si="3"/>
        <v>11.480502970952692</v>
      </c>
      <c r="G33" s="29">
        <f t="shared" si="4"/>
        <v>-1375</v>
      </c>
      <c r="H33" s="29">
        <f t="shared" si="5"/>
        <v>37.52266631139788</v>
      </c>
      <c r="I33" s="21">
        <f t="shared" si="6"/>
        <v>31.78241482592153</v>
      </c>
      <c r="J33" s="21">
        <f t="shared" si="7"/>
        <v>0</v>
      </c>
      <c r="K33" s="21">
        <f t="shared" si="8"/>
        <v>46.782414825921535</v>
      </c>
      <c r="L33" s="83">
        <f t="shared" si="9"/>
        <v>0</v>
      </c>
      <c r="M33" s="21">
        <f t="shared" si="10"/>
        <v>6.782414825921531</v>
      </c>
      <c r="N33" s="21">
        <f t="shared" si="11"/>
        <v>0.45216098839476876</v>
      </c>
      <c r="O33" s="86"/>
      <c r="P33" s="43">
        <f t="shared" si="12"/>
        <v>112.5</v>
      </c>
      <c r="Q33" s="21">
        <f t="shared" si="13"/>
        <v>-5.740251485476346</v>
      </c>
      <c r="R33" s="21">
        <f t="shared" si="14"/>
        <v>13.858192987669302</v>
      </c>
      <c r="S33" s="21">
        <f t="shared" si="15"/>
        <v>-1.6978343726668518E-15</v>
      </c>
      <c r="T33" s="29">
        <f t="shared" si="16"/>
        <v>-5.159648781942116E-30</v>
      </c>
      <c r="U33" s="29">
        <f t="shared" si="17"/>
        <v>2.424934879784275E-15</v>
      </c>
      <c r="V33" s="21">
        <f t="shared" si="18"/>
        <v>3.273852066117701E-15</v>
      </c>
      <c r="W33" s="21">
        <f t="shared" si="19"/>
        <v>53.44416920252962</v>
      </c>
      <c r="X33" s="21">
        <f t="shared" si="20"/>
        <v>4.1927134072991655E-15</v>
      </c>
      <c r="Y33" s="21">
        <f t="shared" si="21"/>
        <v>68.44416920252962</v>
      </c>
      <c r="Z33" s="21">
        <f t="shared" si="0"/>
        <v>28.444169202529622</v>
      </c>
      <c r="AA33" s="21">
        <f t="shared" si="22"/>
        <v>1.8962779468353081</v>
      </c>
    </row>
    <row r="34" spans="2:27" ht="12.75">
      <c r="B34" s="24">
        <v>16</v>
      </c>
      <c r="C34" s="29">
        <v>120</v>
      </c>
      <c r="D34" s="21">
        <f t="shared" si="1"/>
        <v>-7.4999999999999964</v>
      </c>
      <c r="E34" s="21">
        <f t="shared" si="2"/>
        <v>12.99038105676658</v>
      </c>
      <c r="F34" s="21">
        <f t="shared" si="3"/>
        <v>14.999999999999993</v>
      </c>
      <c r="G34" s="29">
        <f t="shared" si="4"/>
        <v>-1375</v>
      </c>
      <c r="H34" s="29">
        <f t="shared" si="5"/>
        <v>37.83186487605389</v>
      </c>
      <c r="I34" s="21">
        <f t="shared" si="6"/>
        <v>30.331864876053896</v>
      </c>
      <c r="J34" s="21">
        <f t="shared" si="7"/>
        <v>0</v>
      </c>
      <c r="K34" s="21">
        <f t="shared" si="8"/>
        <v>45.3318648760539</v>
      </c>
      <c r="L34" s="83">
        <f t="shared" si="9"/>
        <v>0</v>
      </c>
      <c r="M34" s="21">
        <f t="shared" si="10"/>
        <v>5.331864876053896</v>
      </c>
      <c r="N34" s="21">
        <f t="shared" si="11"/>
        <v>0.35545765840359306</v>
      </c>
      <c r="O34" s="86"/>
      <c r="P34" s="43">
        <f t="shared" si="12"/>
        <v>120</v>
      </c>
      <c r="Q34" s="21">
        <f t="shared" si="13"/>
        <v>-7.4999999999999964</v>
      </c>
      <c r="R34" s="21">
        <f t="shared" si="14"/>
        <v>12.99038105676658</v>
      </c>
      <c r="S34" s="21">
        <f t="shared" si="15"/>
        <v>-1.5915145280371783E-15</v>
      </c>
      <c r="T34" s="29">
        <f t="shared" si="16"/>
        <v>-5.159648781942116E-30</v>
      </c>
      <c r="U34" s="29">
        <f t="shared" si="17"/>
        <v>2.4068399209711614E-15</v>
      </c>
      <c r="V34" s="21">
        <f t="shared" si="18"/>
        <v>3.2025971849897505E-15</v>
      </c>
      <c r="W34" s="21">
        <f t="shared" si="19"/>
        <v>52.28096517052086</v>
      </c>
      <c r="X34" s="21">
        <f t="shared" si="20"/>
        <v>4.1214585261712155E-15</v>
      </c>
      <c r="Y34" s="21">
        <f t="shared" si="21"/>
        <v>67.28096517052086</v>
      </c>
      <c r="Z34" s="21">
        <f t="shared" si="0"/>
        <v>27.280965170520858</v>
      </c>
      <c r="AA34" s="21">
        <f t="shared" si="22"/>
        <v>1.8187310113680573</v>
      </c>
    </row>
    <row r="35" spans="2:27" ht="12.75">
      <c r="B35" s="24">
        <v>17</v>
      </c>
      <c r="C35" s="29">
        <v>127.5</v>
      </c>
      <c r="D35" s="21">
        <f t="shared" si="1"/>
        <v>-9.13142143513081</v>
      </c>
      <c r="E35" s="21">
        <f t="shared" si="2"/>
        <v>11.900300104368528</v>
      </c>
      <c r="F35" s="21">
        <f t="shared" si="3"/>
        <v>18.26284287026162</v>
      </c>
      <c r="G35" s="29">
        <f t="shared" si="4"/>
        <v>-1375</v>
      </c>
      <c r="H35" s="29">
        <f t="shared" si="5"/>
        <v>38.18877920837437</v>
      </c>
      <c r="I35" s="21">
        <f t="shared" si="6"/>
        <v>29.05735777324356</v>
      </c>
      <c r="J35" s="21">
        <f t="shared" si="7"/>
        <v>0</v>
      </c>
      <c r="K35" s="21">
        <f t="shared" si="8"/>
        <v>44.05735777324356</v>
      </c>
      <c r="L35" s="83">
        <f t="shared" si="9"/>
        <v>0</v>
      </c>
      <c r="M35" s="21">
        <f t="shared" si="10"/>
        <v>4.0573577732435595</v>
      </c>
      <c r="N35" s="21">
        <f t="shared" si="11"/>
        <v>0.2704905182162373</v>
      </c>
      <c r="O35" s="86"/>
      <c r="P35" s="43">
        <f t="shared" si="12"/>
        <v>127.5</v>
      </c>
      <c r="Q35" s="21">
        <f t="shared" si="13"/>
        <v>-9.13142143513081</v>
      </c>
      <c r="R35" s="21">
        <f t="shared" si="14"/>
        <v>11.900300104368528</v>
      </c>
      <c r="S35" s="21">
        <f t="shared" si="15"/>
        <v>-1.457963428581599E-15</v>
      </c>
      <c r="T35" s="29">
        <f t="shared" si="16"/>
        <v>-5.159648781942116E-30</v>
      </c>
      <c r="U35" s="29">
        <f t="shared" si="17"/>
        <v>2.3855949198706115E-15</v>
      </c>
      <c r="V35" s="21">
        <f t="shared" si="18"/>
        <v>3.114576634161411E-15</v>
      </c>
      <c r="W35" s="21">
        <f t="shared" si="19"/>
        <v>50.8440690870188</v>
      </c>
      <c r="X35" s="21">
        <f t="shared" si="20"/>
        <v>4.033437975342876E-15</v>
      </c>
      <c r="Y35" s="21">
        <f t="shared" si="21"/>
        <v>65.8440690870188</v>
      </c>
      <c r="Z35" s="21">
        <f t="shared" si="0"/>
        <v>25.844069087018802</v>
      </c>
      <c r="AA35" s="21">
        <f t="shared" si="22"/>
        <v>1.7229379391345867</v>
      </c>
    </row>
    <row r="36" spans="2:27" ht="12.75">
      <c r="B36" s="24">
        <v>18</v>
      </c>
      <c r="C36" s="29">
        <v>135</v>
      </c>
      <c r="D36" s="21">
        <f t="shared" si="1"/>
        <v>-10.606601717798211</v>
      </c>
      <c r="E36" s="21">
        <f t="shared" si="2"/>
        <v>10.606601717798213</v>
      </c>
      <c r="F36" s="21">
        <f t="shared" si="3"/>
        <v>21.213203435596423</v>
      </c>
      <c r="G36" s="29">
        <f t="shared" si="4"/>
        <v>-1375</v>
      </c>
      <c r="H36" s="29">
        <f t="shared" si="5"/>
        <v>38.568121551353784</v>
      </c>
      <c r="I36" s="21">
        <f t="shared" si="6"/>
        <v>27.96151983355557</v>
      </c>
      <c r="J36" s="21">
        <f t="shared" si="7"/>
        <v>0</v>
      </c>
      <c r="K36" s="21">
        <f t="shared" si="8"/>
        <v>42.96151983355557</v>
      </c>
      <c r="L36" s="83">
        <f t="shared" si="9"/>
        <v>0</v>
      </c>
      <c r="M36" s="21">
        <f t="shared" si="10"/>
        <v>2.9615198335555704</v>
      </c>
      <c r="N36" s="21">
        <f t="shared" si="11"/>
        <v>0.19743465557037135</v>
      </c>
      <c r="O36" s="86"/>
      <c r="P36" s="43">
        <f t="shared" si="12"/>
        <v>135</v>
      </c>
      <c r="Q36" s="21">
        <f t="shared" si="13"/>
        <v>-10.606601717798211</v>
      </c>
      <c r="R36" s="21">
        <f t="shared" si="14"/>
        <v>10.606601717798213</v>
      </c>
      <c r="S36" s="21">
        <f t="shared" si="15"/>
        <v>-1.2994661706391596E-15</v>
      </c>
      <c r="T36" s="29">
        <f t="shared" si="16"/>
        <v>-5.159648781942116E-30</v>
      </c>
      <c r="U36" s="29">
        <f t="shared" si="17"/>
        <v>2.362583726368447E-15</v>
      </c>
      <c r="V36" s="21">
        <f t="shared" si="18"/>
        <v>3.0123168116880264E-15</v>
      </c>
      <c r="W36" s="21">
        <f t="shared" si="19"/>
        <v>49.174723269152</v>
      </c>
      <c r="X36" s="21">
        <f t="shared" si="20"/>
        <v>3.9311781528694915E-15</v>
      </c>
      <c r="Y36" s="21">
        <f t="shared" si="21"/>
        <v>64.174723269152</v>
      </c>
      <c r="Z36" s="21">
        <f t="shared" si="0"/>
        <v>24.174723269151997</v>
      </c>
      <c r="AA36" s="21">
        <f t="shared" si="22"/>
        <v>1.6116482179434664</v>
      </c>
    </row>
    <row r="37" spans="2:27" ht="12.75">
      <c r="B37" s="24">
        <v>19</v>
      </c>
      <c r="C37" s="29">
        <v>142.5</v>
      </c>
      <c r="D37" s="21">
        <f t="shared" si="1"/>
        <v>-11.90030010436853</v>
      </c>
      <c r="E37" s="21">
        <f t="shared" si="2"/>
        <v>9.131421435130807</v>
      </c>
      <c r="F37" s="21">
        <f t="shared" si="3"/>
        <v>23.800600208737052</v>
      </c>
      <c r="G37" s="29">
        <f t="shared" si="4"/>
        <v>-1375</v>
      </c>
      <c r="H37" s="29">
        <f t="shared" si="5"/>
        <v>38.943768982650276</v>
      </c>
      <c r="I37" s="21">
        <f t="shared" si="6"/>
        <v>27.04346887828175</v>
      </c>
      <c r="J37" s="21">
        <f t="shared" si="7"/>
        <v>0</v>
      </c>
      <c r="K37" s="21">
        <f t="shared" si="8"/>
        <v>42.04346887828175</v>
      </c>
      <c r="L37" s="83">
        <f t="shared" si="9"/>
        <v>0</v>
      </c>
      <c r="M37" s="21">
        <f t="shared" si="10"/>
        <v>2.0434688782817503</v>
      </c>
      <c r="N37" s="21">
        <f t="shared" si="11"/>
        <v>0.13623125855211668</v>
      </c>
      <c r="O37" s="86"/>
      <c r="P37" s="43">
        <f t="shared" si="12"/>
        <v>142.5</v>
      </c>
      <c r="Q37" s="21">
        <f t="shared" si="13"/>
        <v>-11.900300104368526</v>
      </c>
      <c r="R37" s="21">
        <f t="shared" si="14"/>
        <v>9.131421435130813</v>
      </c>
      <c r="S37" s="21">
        <f t="shared" si="15"/>
        <v>-1.1187346862369969E-15</v>
      </c>
      <c r="T37" s="29">
        <f t="shared" si="16"/>
        <v>-5.159648781942116E-30</v>
      </c>
      <c r="U37" s="29">
        <f t="shared" si="17"/>
        <v>2.3393461920993146E-15</v>
      </c>
      <c r="V37" s="21">
        <f t="shared" si="18"/>
        <v>2.898713535217813E-15</v>
      </c>
      <c r="W37" s="21">
        <f t="shared" si="19"/>
        <v>47.32020064350518</v>
      </c>
      <c r="X37" s="21">
        <f t="shared" si="20"/>
        <v>3.8175748763992785E-15</v>
      </c>
      <c r="Y37" s="21">
        <f t="shared" si="21"/>
        <v>62.32020064350518</v>
      </c>
      <c r="Z37" s="21">
        <f t="shared" si="0"/>
        <v>22.32020064350518</v>
      </c>
      <c r="AA37" s="21">
        <f t="shared" si="22"/>
        <v>1.4880133762336787</v>
      </c>
    </row>
    <row r="38" spans="2:27" ht="12.75">
      <c r="B38" s="24">
        <v>20</v>
      </c>
      <c r="C38" s="29">
        <v>150</v>
      </c>
      <c r="D38" s="21">
        <f t="shared" si="1"/>
        <v>-12.99038105676658</v>
      </c>
      <c r="E38" s="21">
        <f t="shared" si="2"/>
        <v>7.499999999999999</v>
      </c>
      <c r="F38" s="21">
        <f t="shared" si="3"/>
        <v>25.98076211353316</v>
      </c>
      <c r="G38" s="29">
        <f t="shared" si="4"/>
        <v>-1375</v>
      </c>
      <c r="H38" s="29">
        <f t="shared" si="5"/>
        <v>39.29058411375428</v>
      </c>
      <c r="I38" s="21">
        <f t="shared" si="6"/>
        <v>26.300203056987698</v>
      </c>
      <c r="J38" s="21">
        <f t="shared" si="7"/>
        <v>0</v>
      </c>
      <c r="K38" s="21">
        <f t="shared" si="8"/>
        <v>41.3002030569877</v>
      </c>
      <c r="L38" s="83">
        <f t="shared" si="9"/>
        <v>0</v>
      </c>
      <c r="M38" s="21">
        <f t="shared" si="10"/>
        <v>1.300203056987698</v>
      </c>
      <c r="N38" s="21">
        <f t="shared" si="11"/>
        <v>0.08668020379917986</v>
      </c>
      <c r="O38" s="86"/>
      <c r="P38" s="43">
        <f t="shared" si="12"/>
        <v>150</v>
      </c>
      <c r="Q38" s="21">
        <f t="shared" si="13"/>
        <v>-12.99038105676658</v>
      </c>
      <c r="R38" s="21">
        <f t="shared" si="14"/>
        <v>7.499999999999999</v>
      </c>
      <c r="S38" s="21">
        <f t="shared" si="15"/>
        <v>-9.188613411814648E-16</v>
      </c>
      <c r="T38" s="29">
        <f t="shared" si="16"/>
        <v>-5.159648781942116E-30</v>
      </c>
      <c r="U38" s="29">
        <f t="shared" si="17"/>
        <v>2.317482539960456E-15</v>
      </c>
      <c r="V38" s="21">
        <f t="shared" si="18"/>
        <v>2.7769132105511884E-15</v>
      </c>
      <c r="W38" s="21">
        <f t="shared" si="19"/>
        <v>45.33186487605389</v>
      </c>
      <c r="X38" s="21">
        <f t="shared" si="20"/>
        <v>3.695774551732654E-15</v>
      </c>
      <c r="Y38" s="21">
        <f t="shared" si="21"/>
        <v>60.33186487605389</v>
      </c>
      <c r="Z38" s="21">
        <f t="shared" si="0"/>
        <v>20.331864876053892</v>
      </c>
      <c r="AA38" s="21">
        <f t="shared" si="22"/>
        <v>1.355457658403593</v>
      </c>
    </row>
    <row r="39" spans="2:27" ht="12.75">
      <c r="B39" s="24">
        <v>21</v>
      </c>
      <c r="C39" s="29">
        <v>157.5</v>
      </c>
      <c r="D39" s="21">
        <f t="shared" si="1"/>
        <v>-13.858192987669302</v>
      </c>
      <c r="E39" s="21">
        <f t="shared" si="2"/>
        <v>5.740251485476349</v>
      </c>
      <c r="F39" s="21">
        <f t="shared" si="3"/>
        <v>27.716385975338603</v>
      </c>
      <c r="G39" s="29">
        <f t="shared" si="4"/>
        <v>-1375</v>
      </c>
      <c r="H39" s="29">
        <f t="shared" si="5"/>
        <v>39.58597621486032</v>
      </c>
      <c r="I39" s="21">
        <f t="shared" si="6"/>
        <v>25.727783227191015</v>
      </c>
      <c r="J39" s="21">
        <f t="shared" si="7"/>
        <v>0</v>
      </c>
      <c r="K39" s="21">
        <f t="shared" si="8"/>
        <v>40.72778322719101</v>
      </c>
      <c r="L39" s="83">
        <f t="shared" si="9"/>
        <v>0</v>
      </c>
      <c r="M39" s="21">
        <f t="shared" si="10"/>
        <v>0.727783227191015</v>
      </c>
      <c r="N39" s="21">
        <f t="shared" si="11"/>
        <v>0.04851888181273433</v>
      </c>
      <c r="O39" s="86"/>
      <c r="P39" s="43">
        <f t="shared" si="12"/>
        <v>157.5</v>
      </c>
      <c r="Q39" s="21">
        <f t="shared" si="13"/>
        <v>-13.858192987669302</v>
      </c>
      <c r="R39" s="21">
        <f t="shared" si="14"/>
        <v>5.740251485476349</v>
      </c>
      <c r="S39" s="21">
        <f t="shared" si="15"/>
        <v>-7.032660238218258E-16</v>
      </c>
      <c r="T39" s="29">
        <f t="shared" si="16"/>
        <v>-5.159648781942116E-30</v>
      </c>
      <c r="U39" s="29">
        <f t="shared" si="17"/>
        <v>2.2985418327730423E-15</v>
      </c>
      <c r="V39" s="21">
        <f t="shared" si="18"/>
        <v>2.6501748446839552E-15</v>
      </c>
      <c r="W39" s="21">
        <f t="shared" si="19"/>
        <v>43.262917796874234</v>
      </c>
      <c r="X39" s="21">
        <f t="shared" si="20"/>
        <v>3.56903618586542E-15</v>
      </c>
      <c r="Y39" s="21">
        <f t="shared" si="21"/>
        <v>58.262917796874234</v>
      </c>
      <c r="Z39" s="21">
        <f t="shared" si="0"/>
        <v>18.262917796874234</v>
      </c>
      <c r="AA39" s="21">
        <f t="shared" si="22"/>
        <v>1.217527853124949</v>
      </c>
    </row>
    <row r="40" spans="2:27" ht="12.75">
      <c r="B40" s="24">
        <v>22</v>
      </c>
      <c r="C40" s="29">
        <v>165</v>
      </c>
      <c r="D40" s="21">
        <f t="shared" si="1"/>
        <v>-14.488887394336023</v>
      </c>
      <c r="E40" s="21">
        <f t="shared" si="2"/>
        <v>3.882285676537815</v>
      </c>
      <c r="F40" s="21">
        <f t="shared" si="3"/>
        <v>28.977774788672047</v>
      </c>
      <c r="G40" s="29">
        <f t="shared" si="4"/>
        <v>-1375</v>
      </c>
      <c r="H40" s="29">
        <f t="shared" si="5"/>
        <v>39.811152431520355</v>
      </c>
      <c r="I40" s="21">
        <f t="shared" si="6"/>
        <v>25.32226503718433</v>
      </c>
      <c r="J40" s="21">
        <f t="shared" si="7"/>
        <v>0</v>
      </c>
      <c r="K40" s="21">
        <f t="shared" si="8"/>
        <v>40.32226503718433</v>
      </c>
      <c r="L40" s="83">
        <f t="shared" si="9"/>
        <v>0</v>
      </c>
      <c r="M40" s="21">
        <f t="shared" si="10"/>
        <v>0.3222650371843301</v>
      </c>
      <c r="N40" s="21">
        <f t="shared" si="11"/>
        <v>0.02148433581228867</v>
      </c>
      <c r="O40" s="86"/>
      <c r="P40" s="43">
        <f t="shared" si="12"/>
        <v>165</v>
      </c>
      <c r="Q40" s="21">
        <f t="shared" si="13"/>
        <v>-14.488887394336023</v>
      </c>
      <c r="R40" s="21">
        <f t="shared" si="14"/>
        <v>3.882285676537815</v>
      </c>
      <c r="S40" s="21">
        <f t="shared" si="15"/>
        <v>-4.75637629812417E-16</v>
      </c>
      <c r="T40" s="29">
        <f t="shared" si="16"/>
        <v>-5.159648781942116E-30</v>
      </c>
      <c r="U40" s="29">
        <f t="shared" si="17"/>
        <v>2.2839016114240797E-15</v>
      </c>
      <c r="V40" s="21">
        <f t="shared" si="18"/>
        <v>2.5217204263302883E-15</v>
      </c>
      <c r="W40" s="21">
        <f t="shared" si="19"/>
        <v>41.165956929168644</v>
      </c>
      <c r="X40" s="21">
        <f t="shared" si="20"/>
        <v>3.4405817675117533E-15</v>
      </c>
      <c r="Y40" s="21">
        <f t="shared" si="21"/>
        <v>56.165956929168644</v>
      </c>
      <c r="Z40" s="21">
        <f t="shared" si="0"/>
        <v>16.165956929168644</v>
      </c>
      <c r="AA40" s="21">
        <f t="shared" si="22"/>
        <v>1.0777304619445762</v>
      </c>
    </row>
    <row r="41" spans="2:27" ht="12.75">
      <c r="B41" s="24">
        <v>23</v>
      </c>
      <c r="C41" s="29">
        <v>172.5</v>
      </c>
      <c r="D41" s="21">
        <f t="shared" si="1"/>
        <v>-14.871672920607155</v>
      </c>
      <c r="E41" s="21">
        <f t="shared" si="2"/>
        <v>1.9578928833007736</v>
      </c>
      <c r="F41" s="21">
        <f t="shared" si="3"/>
        <v>29.74334584121431</v>
      </c>
      <c r="G41" s="29">
        <f t="shared" si="4"/>
        <v>-1375</v>
      </c>
      <c r="H41" s="29">
        <f t="shared" si="5"/>
        <v>39.95205445853217</v>
      </c>
      <c r="I41" s="21">
        <f t="shared" si="6"/>
        <v>25.080381537925014</v>
      </c>
      <c r="J41" s="21">
        <f t="shared" si="7"/>
        <v>0</v>
      </c>
      <c r="K41" s="21">
        <f t="shared" si="8"/>
        <v>40.080381537925014</v>
      </c>
      <c r="L41" s="83">
        <f t="shared" si="9"/>
        <v>0</v>
      </c>
      <c r="M41" s="21">
        <f t="shared" si="10"/>
        <v>0.0803815379250139</v>
      </c>
      <c r="N41" s="21">
        <f t="shared" si="11"/>
        <v>0.005358769195000927</v>
      </c>
      <c r="O41" s="86"/>
      <c r="P41" s="43">
        <f t="shared" si="12"/>
        <v>172.5</v>
      </c>
      <c r="Q41" s="21">
        <f t="shared" si="13"/>
        <v>-14.871672920607155</v>
      </c>
      <c r="R41" s="21">
        <f t="shared" si="14"/>
        <v>1.9578928833007736</v>
      </c>
      <c r="S41" s="21">
        <f t="shared" si="15"/>
        <v>-2.398709440852525E-16</v>
      </c>
      <c r="T41" s="29">
        <f t="shared" si="16"/>
        <v>-5.159648781942116E-30</v>
      </c>
      <c r="U41" s="29">
        <f t="shared" si="17"/>
        <v>2.2746501487912824E-15</v>
      </c>
      <c r="V41" s="21">
        <f t="shared" si="18"/>
        <v>2.3945856208339085E-15</v>
      </c>
      <c r="W41" s="21">
        <f t="shared" si="19"/>
        <v>39.09053815053806</v>
      </c>
      <c r="X41" s="21">
        <f t="shared" si="20"/>
        <v>3.3134469620153735E-15</v>
      </c>
      <c r="Y41" s="21">
        <f t="shared" si="21"/>
        <v>54.09053815053806</v>
      </c>
      <c r="Z41" s="21">
        <f t="shared" si="0"/>
        <v>14.090538150538059</v>
      </c>
      <c r="AA41" s="21">
        <f t="shared" si="22"/>
        <v>0.9393692100358706</v>
      </c>
    </row>
    <row r="42" spans="1:27" ht="12.75">
      <c r="A42" s="6"/>
      <c r="B42" s="23">
        <v>24</v>
      </c>
      <c r="C42" s="77">
        <v>180</v>
      </c>
      <c r="D42" s="18">
        <f t="shared" si="1"/>
        <v>-15</v>
      </c>
      <c r="E42" s="18">
        <f t="shared" si="2"/>
        <v>1.83772268236293E-15</v>
      </c>
      <c r="F42" s="18">
        <f t="shared" si="3"/>
        <v>30</v>
      </c>
      <c r="G42" s="77">
        <f t="shared" si="4"/>
        <v>-1375</v>
      </c>
      <c r="H42" s="77">
        <f t="shared" si="5"/>
        <v>40</v>
      </c>
      <c r="I42" s="18">
        <f t="shared" si="6"/>
        <v>25</v>
      </c>
      <c r="J42" s="18">
        <f t="shared" si="7"/>
        <v>0</v>
      </c>
      <c r="K42" s="21">
        <f t="shared" si="8"/>
        <v>40</v>
      </c>
      <c r="L42" s="83">
        <f t="shared" si="9"/>
        <v>0</v>
      </c>
      <c r="M42" s="21">
        <f t="shared" si="10"/>
        <v>0</v>
      </c>
      <c r="N42" s="21">
        <f t="shared" si="11"/>
        <v>0</v>
      </c>
      <c r="O42" s="86"/>
      <c r="P42" s="77">
        <f t="shared" si="12"/>
        <v>180</v>
      </c>
      <c r="Q42" s="18">
        <f t="shared" si="13"/>
        <v>-15</v>
      </c>
      <c r="R42" s="18">
        <f t="shared" si="14"/>
        <v>1.83772268236293E-15</v>
      </c>
      <c r="S42" s="18">
        <f t="shared" si="15"/>
        <v>-1.1257415524237342E-31</v>
      </c>
      <c r="T42" s="77">
        <f t="shared" si="16"/>
        <v>-5.159648781942116E-30</v>
      </c>
      <c r="U42" s="77">
        <f t="shared" si="17"/>
        <v>2.2714860294402244E-15</v>
      </c>
      <c r="V42" s="18">
        <f t="shared" si="18"/>
        <v>2.2714860294402244E-15</v>
      </c>
      <c r="W42" s="18">
        <f t="shared" si="19"/>
        <v>37.080992435478315</v>
      </c>
      <c r="X42" s="21">
        <f t="shared" si="20"/>
        <v>3.1903473706216894E-15</v>
      </c>
      <c r="Y42" s="21">
        <f t="shared" si="21"/>
        <v>52.080992435478315</v>
      </c>
      <c r="Z42" s="21">
        <f t="shared" si="0"/>
        <v>12.080992435478315</v>
      </c>
      <c r="AA42" s="21">
        <f t="shared" si="22"/>
        <v>0.8053994956985543</v>
      </c>
    </row>
    <row r="43" spans="2:27" ht="12.75">
      <c r="B43" s="24">
        <v>25</v>
      </c>
      <c r="C43" s="29">
        <v>187.5</v>
      </c>
      <c r="D43" s="21">
        <f t="shared" si="1"/>
        <v>-14.871672920607157</v>
      </c>
      <c r="E43" s="21">
        <f t="shared" si="2"/>
        <v>-1.9578928833007698</v>
      </c>
      <c r="F43" s="21">
        <f t="shared" si="3"/>
        <v>29.743345841214314</v>
      </c>
      <c r="G43" s="29">
        <f t="shared" si="4"/>
        <v>-1375</v>
      </c>
      <c r="H43" s="29">
        <f t="shared" si="5"/>
        <v>39.95205445853217</v>
      </c>
      <c r="I43" s="21">
        <f t="shared" si="6"/>
        <v>25.08038153792501</v>
      </c>
      <c r="J43" s="21">
        <f t="shared" si="7"/>
        <v>0</v>
      </c>
      <c r="K43" s="21">
        <f t="shared" si="8"/>
        <v>40.08038153792501</v>
      </c>
      <c r="L43" s="83">
        <f t="shared" si="9"/>
        <v>0</v>
      </c>
      <c r="M43" s="21">
        <f t="shared" si="10"/>
        <v>0.08038153792501035</v>
      </c>
      <c r="N43" s="21">
        <f t="shared" si="11"/>
        <v>0.00535876919500069</v>
      </c>
      <c r="O43" s="86"/>
      <c r="P43" s="43">
        <f t="shared" si="12"/>
        <v>187.5</v>
      </c>
      <c r="Q43" s="21">
        <f t="shared" si="13"/>
        <v>-14.871672920607157</v>
      </c>
      <c r="R43" s="21">
        <f t="shared" si="14"/>
        <v>-1.9578928833007698</v>
      </c>
      <c r="S43" s="21">
        <f t="shared" si="15"/>
        <v>2.398709440852523E-16</v>
      </c>
      <c r="T43" s="29">
        <f t="shared" si="16"/>
        <v>-5.159648781942116E-30</v>
      </c>
      <c r="U43" s="29">
        <f t="shared" si="17"/>
        <v>2.2746501487912824E-15</v>
      </c>
      <c r="V43" s="21">
        <f t="shared" si="18"/>
        <v>2.1547146767486563E-15</v>
      </c>
      <c r="W43" s="21">
        <f t="shared" si="19"/>
        <v>35.17475238393652</v>
      </c>
      <c r="X43" s="21">
        <f t="shared" si="20"/>
        <v>3.0735760179301213E-15</v>
      </c>
      <c r="Y43" s="21">
        <f t="shared" si="21"/>
        <v>50.17475238393652</v>
      </c>
      <c r="Z43" s="21">
        <f t="shared" si="0"/>
        <v>10.174752383936521</v>
      </c>
      <c r="AA43" s="21">
        <f t="shared" si="22"/>
        <v>0.6783168255957681</v>
      </c>
    </row>
    <row r="44" spans="2:27" ht="12.75">
      <c r="B44" s="24">
        <v>26</v>
      </c>
      <c r="C44" s="29">
        <v>195</v>
      </c>
      <c r="D44" s="21">
        <f t="shared" si="1"/>
        <v>-14.488887394336027</v>
      </c>
      <c r="E44" s="21">
        <f t="shared" si="2"/>
        <v>-3.8822856765378053</v>
      </c>
      <c r="F44" s="21">
        <f t="shared" si="3"/>
        <v>28.97777478867205</v>
      </c>
      <c r="G44" s="29">
        <f t="shared" si="4"/>
        <v>-1375</v>
      </c>
      <c r="H44" s="29">
        <f t="shared" si="5"/>
        <v>39.811152431520355</v>
      </c>
      <c r="I44" s="21">
        <f t="shared" si="6"/>
        <v>25.32226503718433</v>
      </c>
      <c r="J44" s="21">
        <f t="shared" si="7"/>
        <v>0</v>
      </c>
      <c r="K44" s="21">
        <f t="shared" si="8"/>
        <v>40.32226503718433</v>
      </c>
      <c r="L44" s="83">
        <f t="shared" si="9"/>
        <v>0</v>
      </c>
      <c r="M44" s="21">
        <f t="shared" si="10"/>
        <v>0.3222650371843301</v>
      </c>
      <c r="N44" s="21">
        <f t="shared" si="11"/>
        <v>0.02148433581228867</v>
      </c>
      <c r="O44" s="86"/>
      <c r="P44" s="43">
        <f t="shared" si="12"/>
        <v>195</v>
      </c>
      <c r="Q44" s="21">
        <f t="shared" si="13"/>
        <v>-14.488887394336025</v>
      </c>
      <c r="R44" s="21">
        <f t="shared" si="14"/>
        <v>-3.882285676537812</v>
      </c>
      <c r="S44" s="21">
        <f t="shared" si="15"/>
        <v>4.756376298124169E-16</v>
      </c>
      <c r="T44" s="29">
        <f t="shared" si="16"/>
        <v>-5.159648781942116E-30</v>
      </c>
      <c r="U44" s="29">
        <f t="shared" si="17"/>
        <v>2.2839016114240797E-15</v>
      </c>
      <c r="V44" s="21">
        <f t="shared" si="18"/>
        <v>2.046082796517871E-15</v>
      </c>
      <c r="W44" s="21">
        <f t="shared" si="19"/>
        <v>33.40138557609301</v>
      </c>
      <c r="X44" s="21">
        <f t="shared" si="20"/>
        <v>2.964944137699336E-15</v>
      </c>
      <c r="Y44" s="21">
        <f t="shared" si="21"/>
        <v>48.40138557609301</v>
      </c>
      <c r="Z44" s="21">
        <f t="shared" si="0"/>
        <v>8.401385576093013</v>
      </c>
      <c r="AA44" s="21">
        <f t="shared" si="22"/>
        <v>0.5600923717395342</v>
      </c>
    </row>
    <row r="45" spans="2:27" ht="12.75">
      <c r="B45" s="24">
        <v>27</v>
      </c>
      <c r="C45" s="29">
        <v>202.5</v>
      </c>
      <c r="D45" s="21">
        <f t="shared" si="1"/>
        <v>-13.858192987669305</v>
      </c>
      <c r="E45" s="21">
        <f t="shared" si="2"/>
        <v>-5.740251485476338</v>
      </c>
      <c r="F45" s="21">
        <f t="shared" si="3"/>
        <v>27.716385975338607</v>
      </c>
      <c r="G45" s="29">
        <f t="shared" si="4"/>
        <v>-1375</v>
      </c>
      <c r="H45" s="29">
        <f t="shared" si="5"/>
        <v>39.58597621486032</v>
      </c>
      <c r="I45" s="21">
        <f t="shared" si="6"/>
        <v>25.72778322719101</v>
      </c>
      <c r="J45" s="21">
        <f t="shared" si="7"/>
        <v>0</v>
      </c>
      <c r="K45" s="21">
        <f t="shared" si="8"/>
        <v>40.72778322719101</v>
      </c>
      <c r="L45" s="83">
        <f t="shared" si="9"/>
        <v>0</v>
      </c>
      <c r="M45" s="21">
        <f t="shared" si="10"/>
        <v>0.7277832271910114</v>
      </c>
      <c r="N45" s="21">
        <f t="shared" si="11"/>
        <v>0.048518881812734095</v>
      </c>
      <c r="O45" s="86"/>
      <c r="P45" s="43">
        <f t="shared" si="12"/>
        <v>202.5</v>
      </c>
      <c r="Q45" s="21">
        <f t="shared" si="13"/>
        <v>-13.858192987669304</v>
      </c>
      <c r="R45" s="21">
        <f t="shared" si="14"/>
        <v>-5.740251485476345</v>
      </c>
      <c r="S45" s="21">
        <f t="shared" si="15"/>
        <v>7.032660238218257E-16</v>
      </c>
      <c r="T45" s="29">
        <f t="shared" si="16"/>
        <v>-5.159648781942116E-30</v>
      </c>
      <c r="U45" s="29">
        <f t="shared" si="17"/>
        <v>2.2985418327730423E-15</v>
      </c>
      <c r="V45" s="21">
        <f t="shared" si="18"/>
        <v>1.9469088208621293E-15</v>
      </c>
      <c r="W45" s="21">
        <f t="shared" si="19"/>
        <v>31.782414825921535</v>
      </c>
      <c r="X45" s="21">
        <f t="shared" si="20"/>
        <v>2.8657701620435943E-15</v>
      </c>
      <c r="Y45" s="21">
        <f t="shared" si="21"/>
        <v>46.782414825921535</v>
      </c>
      <c r="Z45" s="21">
        <f t="shared" si="0"/>
        <v>6.782414825921535</v>
      </c>
      <c r="AA45" s="21">
        <f t="shared" si="22"/>
        <v>0.452160988394769</v>
      </c>
    </row>
    <row r="46" spans="2:27" ht="12.75">
      <c r="B46" s="24">
        <v>28</v>
      </c>
      <c r="C46" s="29">
        <v>210</v>
      </c>
      <c r="D46" s="21">
        <f t="shared" si="1"/>
        <v>-12.990381056766578</v>
      </c>
      <c r="E46" s="21">
        <f t="shared" si="2"/>
        <v>-7.500000000000002</v>
      </c>
      <c r="F46" s="21">
        <f t="shared" si="3"/>
        <v>25.980762113533157</v>
      </c>
      <c r="G46" s="29">
        <f t="shared" si="4"/>
        <v>-1375</v>
      </c>
      <c r="H46" s="29">
        <f t="shared" si="5"/>
        <v>39.29058411375428</v>
      </c>
      <c r="I46" s="21">
        <f t="shared" si="6"/>
        <v>26.300203056987698</v>
      </c>
      <c r="J46" s="21">
        <f t="shared" si="7"/>
        <v>0</v>
      </c>
      <c r="K46" s="21">
        <f t="shared" si="8"/>
        <v>41.3002030569877</v>
      </c>
      <c r="L46" s="83">
        <f t="shared" si="9"/>
        <v>0</v>
      </c>
      <c r="M46" s="21">
        <f t="shared" si="10"/>
        <v>1.300203056987698</v>
      </c>
      <c r="N46" s="21">
        <f t="shared" si="11"/>
        <v>0.08668020379917986</v>
      </c>
      <c r="O46" s="86"/>
      <c r="P46" s="43">
        <f t="shared" si="12"/>
        <v>210</v>
      </c>
      <c r="Q46" s="21">
        <f t="shared" si="13"/>
        <v>-12.990381056766578</v>
      </c>
      <c r="R46" s="21">
        <f t="shared" si="14"/>
        <v>-7.500000000000002</v>
      </c>
      <c r="S46" s="21">
        <f t="shared" si="15"/>
        <v>9.188613411814654E-16</v>
      </c>
      <c r="T46" s="29">
        <f t="shared" si="16"/>
        <v>-5.159648781942116E-30</v>
      </c>
      <c r="U46" s="29">
        <f t="shared" si="17"/>
        <v>2.317482539960456E-15</v>
      </c>
      <c r="V46" s="21">
        <f t="shared" si="18"/>
        <v>1.858051869369723E-15</v>
      </c>
      <c r="W46" s="21">
        <f t="shared" si="19"/>
        <v>30.331864876053885</v>
      </c>
      <c r="X46" s="21">
        <f t="shared" si="20"/>
        <v>2.776913210551188E-15</v>
      </c>
      <c r="Y46" s="21">
        <f t="shared" si="21"/>
        <v>45.331864876053885</v>
      </c>
      <c r="Z46" s="21">
        <f t="shared" si="0"/>
        <v>5.331864876053885</v>
      </c>
      <c r="AA46" s="21">
        <f t="shared" si="22"/>
        <v>0.35545765840359234</v>
      </c>
    </row>
    <row r="47" spans="2:27" ht="12.75">
      <c r="B47" s="24">
        <v>29</v>
      </c>
      <c r="C47" s="29">
        <v>217.5</v>
      </c>
      <c r="D47" s="21">
        <f t="shared" si="1"/>
        <v>-11.900300104368528</v>
      </c>
      <c r="E47" s="21">
        <f t="shared" si="2"/>
        <v>-9.13142143513081</v>
      </c>
      <c r="F47" s="21">
        <f t="shared" si="3"/>
        <v>23.800600208737055</v>
      </c>
      <c r="G47" s="29">
        <f t="shared" si="4"/>
        <v>-1375</v>
      </c>
      <c r="H47" s="29">
        <f t="shared" si="5"/>
        <v>38.943768982650276</v>
      </c>
      <c r="I47" s="21">
        <f t="shared" si="6"/>
        <v>27.04346887828175</v>
      </c>
      <c r="J47" s="21">
        <f t="shared" si="7"/>
        <v>0</v>
      </c>
      <c r="K47" s="21">
        <f t="shared" si="8"/>
        <v>42.04346887828175</v>
      </c>
      <c r="L47" s="83">
        <f t="shared" si="9"/>
        <v>0</v>
      </c>
      <c r="M47" s="21">
        <f t="shared" si="10"/>
        <v>2.0434688782817503</v>
      </c>
      <c r="N47" s="21">
        <f t="shared" si="11"/>
        <v>0.13623125855211668</v>
      </c>
      <c r="O47" s="86"/>
      <c r="P47" s="43">
        <f t="shared" si="12"/>
        <v>217.5</v>
      </c>
      <c r="Q47" s="21">
        <f t="shared" si="13"/>
        <v>-11.900300104368528</v>
      </c>
      <c r="R47" s="21">
        <f t="shared" si="14"/>
        <v>-9.13142143513081</v>
      </c>
      <c r="S47" s="21">
        <f t="shared" si="15"/>
        <v>1.1187346862369967E-15</v>
      </c>
      <c r="T47" s="29">
        <f t="shared" si="16"/>
        <v>-5.159648781942116E-30</v>
      </c>
      <c r="U47" s="29">
        <f t="shared" si="17"/>
        <v>2.3393461920993146E-15</v>
      </c>
      <c r="V47" s="21">
        <f t="shared" si="18"/>
        <v>1.779978848980816E-15</v>
      </c>
      <c r="W47" s="21">
        <f t="shared" si="19"/>
        <v>29.057357773243556</v>
      </c>
      <c r="X47" s="21">
        <f t="shared" si="20"/>
        <v>2.698840190162281E-15</v>
      </c>
      <c r="Y47" s="21">
        <f t="shared" si="21"/>
        <v>44.05735777324355</v>
      </c>
      <c r="Z47" s="21">
        <f t="shared" si="0"/>
        <v>4.057357773243556</v>
      </c>
      <c r="AA47" s="21">
        <f t="shared" si="22"/>
        <v>0.27049051821623704</v>
      </c>
    </row>
    <row r="48" spans="2:27" ht="12.75">
      <c r="B48" s="24">
        <v>30</v>
      </c>
      <c r="C48" s="29">
        <v>225</v>
      </c>
      <c r="D48" s="21">
        <f t="shared" si="1"/>
        <v>-10.606601717798215</v>
      </c>
      <c r="E48" s="21">
        <f t="shared" si="2"/>
        <v>-10.606601717798211</v>
      </c>
      <c r="F48" s="21">
        <f t="shared" si="3"/>
        <v>21.21320343559643</v>
      </c>
      <c r="G48" s="29">
        <f t="shared" si="4"/>
        <v>-1375</v>
      </c>
      <c r="H48" s="29">
        <f t="shared" si="5"/>
        <v>38.568121551353784</v>
      </c>
      <c r="I48" s="21">
        <f t="shared" si="6"/>
        <v>27.96151983355557</v>
      </c>
      <c r="J48" s="21">
        <f t="shared" si="7"/>
        <v>0</v>
      </c>
      <c r="K48" s="21">
        <f t="shared" si="8"/>
        <v>42.96151983355557</v>
      </c>
      <c r="L48" s="83">
        <f t="shared" si="9"/>
        <v>0</v>
      </c>
      <c r="M48" s="21">
        <f t="shared" si="10"/>
        <v>2.9615198335555704</v>
      </c>
      <c r="N48" s="21">
        <f t="shared" si="11"/>
        <v>0.19743465557037135</v>
      </c>
      <c r="O48" s="86"/>
      <c r="P48" s="43">
        <f t="shared" si="12"/>
        <v>225</v>
      </c>
      <c r="Q48" s="21">
        <f t="shared" si="13"/>
        <v>-10.606601717798215</v>
      </c>
      <c r="R48" s="21">
        <f t="shared" si="14"/>
        <v>-10.606601717798211</v>
      </c>
      <c r="S48" s="21">
        <f t="shared" si="15"/>
        <v>1.2994661706391595E-15</v>
      </c>
      <c r="T48" s="29">
        <f t="shared" si="16"/>
        <v>-5.159648781942116E-30</v>
      </c>
      <c r="U48" s="29">
        <f t="shared" si="17"/>
        <v>2.362583726368447E-15</v>
      </c>
      <c r="V48" s="21">
        <f t="shared" si="18"/>
        <v>1.7128506410488672E-15</v>
      </c>
      <c r="W48" s="21">
        <f t="shared" si="19"/>
        <v>27.961519833555574</v>
      </c>
      <c r="X48" s="21">
        <f t="shared" si="20"/>
        <v>2.6317119822303322E-15</v>
      </c>
      <c r="Y48" s="21">
        <f t="shared" si="21"/>
        <v>42.96151983355557</v>
      </c>
      <c r="Z48" s="21">
        <f t="shared" si="0"/>
        <v>2.961519833555574</v>
      </c>
      <c r="AA48" s="21">
        <f t="shared" si="22"/>
        <v>0.1974346555703716</v>
      </c>
    </row>
    <row r="49" spans="2:27" ht="12.75">
      <c r="B49" s="24">
        <v>31</v>
      </c>
      <c r="C49" s="29">
        <v>232.5</v>
      </c>
      <c r="D49" s="21">
        <f t="shared" si="1"/>
        <v>-9.131421435130813</v>
      </c>
      <c r="E49" s="21">
        <f t="shared" si="2"/>
        <v>-11.900300104368524</v>
      </c>
      <c r="F49" s="21">
        <f t="shared" si="3"/>
        <v>18.262842870261625</v>
      </c>
      <c r="G49" s="29">
        <f t="shared" si="4"/>
        <v>-1375</v>
      </c>
      <c r="H49" s="29">
        <f t="shared" si="5"/>
        <v>38.18877920837437</v>
      </c>
      <c r="I49" s="21">
        <f t="shared" si="6"/>
        <v>29.05735777324356</v>
      </c>
      <c r="J49" s="21">
        <f t="shared" si="7"/>
        <v>0</v>
      </c>
      <c r="K49" s="21">
        <f t="shared" si="8"/>
        <v>44.05735777324356</v>
      </c>
      <c r="L49" s="83">
        <f t="shared" si="9"/>
        <v>0</v>
      </c>
      <c r="M49" s="21">
        <f t="shared" si="10"/>
        <v>4.0573577732435595</v>
      </c>
      <c r="N49" s="21">
        <f t="shared" si="11"/>
        <v>0.2704905182162373</v>
      </c>
      <c r="O49" s="86"/>
      <c r="P49" s="43">
        <f t="shared" si="12"/>
        <v>232.5</v>
      </c>
      <c r="Q49" s="21">
        <f t="shared" si="13"/>
        <v>-9.131421435130813</v>
      </c>
      <c r="R49" s="21">
        <f t="shared" si="14"/>
        <v>-11.900300104368524</v>
      </c>
      <c r="S49" s="21">
        <f t="shared" si="15"/>
        <v>1.4579634285815988E-15</v>
      </c>
      <c r="T49" s="29">
        <f t="shared" si="16"/>
        <v>-5.159648781942116E-30</v>
      </c>
      <c r="U49" s="29">
        <f t="shared" si="17"/>
        <v>2.3855949198706115E-15</v>
      </c>
      <c r="V49" s="21">
        <f t="shared" si="18"/>
        <v>1.6566132055798121E-15</v>
      </c>
      <c r="W49" s="21">
        <f t="shared" si="19"/>
        <v>27.043468878281754</v>
      </c>
      <c r="X49" s="21">
        <f t="shared" si="20"/>
        <v>2.575474546761277E-15</v>
      </c>
      <c r="Y49" s="21">
        <f t="shared" si="21"/>
        <v>42.04346887828176</v>
      </c>
      <c r="Z49" s="21">
        <f t="shared" si="0"/>
        <v>2.043468878281754</v>
      </c>
      <c r="AA49" s="21">
        <f t="shared" si="22"/>
        <v>0.13623125855211693</v>
      </c>
    </row>
    <row r="50" spans="2:27" ht="12.75">
      <c r="B50" s="24">
        <v>32</v>
      </c>
      <c r="C50" s="29">
        <v>240</v>
      </c>
      <c r="D50" s="21">
        <f t="shared" si="1"/>
        <v>-7.500000000000007</v>
      </c>
      <c r="E50" s="21">
        <f t="shared" si="2"/>
        <v>-12.990381056766577</v>
      </c>
      <c r="F50" s="21">
        <f t="shared" si="3"/>
        <v>15.000000000000014</v>
      </c>
      <c r="G50" s="29">
        <f t="shared" si="4"/>
        <v>-1375</v>
      </c>
      <c r="H50" s="29">
        <f t="shared" si="5"/>
        <v>37.83186487605389</v>
      </c>
      <c r="I50" s="21">
        <f t="shared" si="6"/>
        <v>30.331864876053885</v>
      </c>
      <c r="J50" s="21">
        <f t="shared" si="7"/>
        <v>0</v>
      </c>
      <c r="K50" s="21">
        <f t="shared" si="8"/>
        <v>45.331864876053885</v>
      </c>
      <c r="L50" s="83">
        <f t="shared" si="9"/>
        <v>0</v>
      </c>
      <c r="M50" s="21">
        <f t="shared" si="10"/>
        <v>5.331864876053885</v>
      </c>
      <c r="N50" s="21">
        <f t="shared" si="11"/>
        <v>0.35545765840359234</v>
      </c>
      <c r="O50" s="86"/>
      <c r="P50" s="43">
        <f t="shared" si="12"/>
        <v>240</v>
      </c>
      <c r="Q50" s="21">
        <f t="shared" si="13"/>
        <v>-7.500000000000007</v>
      </c>
      <c r="R50" s="21">
        <f t="shared" si="14"/>
        <v>-12.990381056766577</v>
      </c>
      <c r="S50" s="21">
        <f t="shared" si="15"/>
        <v>1.5915145280371779E-15</v>
      </c>
      <c r="T50" s="29">
        <f t="shared" si="16"/>
        <v>-5.159648781942116E-30</v>
      </c>
      <c r="U50" s="29">
        <f t="shared" si="17"/>
        <v>2.4068399209711614E-15</v>
      </c>
      <c r="V50" s="21">
        <f t="shared" si="18"/>
        <v>1.6110826569525724E-15</v>
      </c>
      <c r="W50" s="21">
        <f t="shared" si="19"/>
        <v>26.3002030569877</v>
      </c>
      <c r="X50" s="21">
        <f t="shared" si="20"/>
        <v>2.5299439981340374E-15</v>
      </c>
      <c r="Y50" s="21">
        <f t="shared" si="21"/>
        <v>41.3002030569877</v>
      </c>
      <c r="Z50" s="21">
        <f t="shared" si="0"/>
        <v>1.3002030569877014</v>
      </c>
      <c r="AA50" s="21">
        <f t="shared" si="22"/>
        <v>0.0866802037991801</v>
      </c>
    </row>
    <row r="51" spans="2:27" ht="12.75">
      <c r="B51" s="24">
        <v>33</v>
      </c>
      <c r="C51" s="29">
        <v>247.5</v>
      </c>
      <c r="D51" s="21">
        <f t="shared" si="1"/>
        <v>-5.7402514854763425</v>
      </c>
      <c r="E51" s="21">
        <f t="shared" si="2"/>
        <v>-13.858192987669304</v>
      </c>
      <c r="F51" s="21">
        <f t="shared" si="3"/>
        <v>11.480502970952685</v>
      </c>
      <c r="G51" s="29">
        <f t="shared" si="4"/>
        <v>-1375</v>
      </c>
      <c r="H51" s="29">
        <f t="shared" si="5"/>
        <v>37.52266631139788</v>
      </c>
      <c r="I51" s="21">
        <f t="shared" si="6"/>
        <v>31.782414825921535</v>
      </c>
      <c r="J51" s="21">
        <f t="shared" si="7"/>
        <v>0</v>
      </c>
      <c r="K51" s="21">
        <f t="shared" si="8"/>
        <v>46.782414825921535</v>
      </c>
      <c r="L51" s="83">
        <f t="shared" si="9"/>
        <v>0</v>
      </c>
      <c r="M51" s="21">
        <f t="shared" si="10"/>
        <v>6.782414825921535</v>
      </c>
      <c r="N51" s="21">
        <f t="shared" si="11"/>
        <v>0.452160988394769</v>
      </c>
      <c r="O51" s="86"/>
      <c r="P51" s="43">
        <f t="shared" si="12"/>
        <v>247.5</v>
      </c>
      <c r="Q51" s="21">
        <f t="shared" si="13"/>
        <v>-5.7402514854763425</v>
      </c>
      <c r="R51" s="21">
        <f t="shared" si="14"/>
        <v>-13.858192987669304</v>
      </c>
      <c r="S51" s="21">
        <f t="shared" si="15"/>
        <v>1.697834372666852E-15</v>
      </c>
      <c r="T51" s="29">
        <f t="shared" si="16"/>
        <v>-5.159648781942116E-30</v>
      </c>
      <c r="U51" s="29">
        <f t="shared" si="17"/>
        <v>2.424934879784275E-15</v>
      </c>
      <c r="V51" s="21">
        <f t="shared" si="18"/>
        <v>1.576017693450849E-15</v>
      </c>
      <c r="W51" s="21">
        <f t="shared" si="19"/>
        <v>25.727783227191015</v>
      </c>
      <c r="X51" s="21">
        <f t="shared" si="20"/>
        <v>2.494879034632314E-15</v>
      </c>
      <c r="Y51" s="21">
        <f t="shared" si="21"/>
        <v>40.72778322719101</v>
      </c>
      <c r="Z51" s="21">
        <f t="shared" si="0"/>
        <v>0.727783227191015</v>
      </c>
      <c r="AA51" s="21">
        <f t="shared" si="22"/>
        <v>0.04851888181273433</v>
      </c>
    </row>
    <row r="52" spans="2:27" ht="12.75">
      <c r="B52" s="24">
        <v>34</v>
      </c>
      <c r="C52" s="29">
        <v>255</v>
      </c>
      <c r="D52" s="21">
        <f t="shared" si="1"/>
        <v>-3.8822856765378093</v>
      </c>
      <c r="E52" s="21">
        <f t="shared" si="2"/>
        <v>-14.488887394336025</v>
      </c>
      <c r="F52" s="21">
        <f t="shared" si="3"/>
        <v>7.764571353075619</v>
      </c>
      <c r="G52" s="29">
        <f t="shared" si="4"/>
        <v>-1375</v>
      </c>
      <c r="H52" s="29">
        <f t="shared" si="5"/>
        <v>37.28367125263083</v>
      </c>
      <c r="I52" s="21">
        <f t="shared" si="6"/>
        <v>33.40138557609302</v>
      </c>
      <c r="J52" s="21">
        <f t="shared" si="7"/>
        <v>0</v>
      </c>
      <c r="K52" s="21">
        <f t="shared" si="8"/>
        <v>48.40138557609302</v>
      </c>
      <c r="L52" s="83">
        <f t="shared" si="9"/>
        <v>0</v>
      </c>
      <c r="M52" s="21">
        <f t="shared" si="10"/>
        <v>8.40138557609302</v>
      </c>
      <c r="N52" s="21">
        <f t="shared" si="11"/>
        <v>0.5600923717395346</v>
      </c>
      <c r="O52" s="86"/>
      <c r="P52" s="43">
        <f t="shared" si="12"/>
        <v>255</v>
      </c>
      <c r="Q52" s="21">
        <f t="shared" si="13"/>
        <v>-3.8822856765378093</v>
      </c>
      <c r="R52" s="21">
        <f t="shared" si="14"/>
        <v>-14.488887394336025</v>
      </c>
      <c r="S52" s="21">
        <f t="shared" si="15"/>
        <v>1.7751038004515762E-15</v>
      </c>
      <c r="T52" s="29">
        <f t="shared" si="16"/>
        <v>-5.159648781942116E-30</v>
      </c>
      <c r="U52" s="29">
        <f t="shared" si="17"/>
        <v>2.438728594480436E-15</v>
      </c>
      <c r="V52" s="21">
        <f t="shared" si="18"/>
        <v>1.5511766942546478E-15</v>
      </c>
      <c r="W52" s="21">
        <f t="shared" si="19"/>
        <v>25.322265037184334</v>
      </c>
      <c r="X52" s="21">
        <f t="shared" si="20"/>
        <v>2.470038035436113E-15</v>
      </c>
      <c r="Y52" s="21">
        <f t="shared" si="21"/>
        <v>40.32226503718434</v>
      </c>
      <c r="Z52" s="21">
        <f t="shared" si="0"/>
        <v>0.32226503718433364</v>
      </c>
      <c r="AA52" s="21">
        <f t="shared" si="22"/>
        <v>0.02148433581228891</v>
      </c>
    </row>
    <row r="53" spans="2:27" ht="12.75">
      <c r="B53" s="24">
        <v>35</v>
      </c>
      <c r="C53" s="29">
        <v>262.5</v>
      </c>
      <c r="D53" s="21">
        <f t="shared" si="1"/>
        <v>-1.9578928833007745</v>
      </c>
      <c r="E53" s="21">
        <f t="shared" si="2"/>
        <v>-14.871672920607155</v>
      </c>
      <c r="F53" s="21">
        <f t="shared" si="3"/>
        <v>3.915785766601549</v>
      </c>
      <c r="G53" s="29">
        <f t="shared" si="4"/>
        <v>-1375</v>
      </c>
      <c r="H53" s="29">
        <f t="shared" si="5"/>
        <v>37.13264526723729</v>
      </c>
      <c r="I53" s="21">
        <f t="shared" si="6"/>
        <v>35.174752383936514</v>
      </c>
      <c r="J53" s="21">
        <f t="shared" si="7"/>
        <v>0</v>
      </c>
      <c r="K53" s="21">
        <f t="shared" si="8"/>
        <v>50.174752383936514</v>
      </c>
      <c r="L53" s="83">
        <f t="shared" si="9"/>
        <v>0</v>
      </c>
      <c r="M53" s="21">
        <f t="shared" si="10"/>
        <v>10.174752383936514</v>
      </c>
      <c r="N53" s="21">
        <f t="shared" si="11"/>
        <v>0.6783168255957677</v>
      </c>
      <c r="O53" s="86"/>
      <c r="P53" s="43">
        <f t="shared" si="12"/>
        <v>262.5</v>
      </c>
      <c r="Q53" s="21">
        <f t="shared" si="13"/>
        <v>-1.9578928833007745</v>
      </c>
      <c r="R53" s="21">
        <f t="shared" si="14"/>
        <v>-14.871672920607155</v>
      </c>
      <c r="S53" s="21">
        <f t="shared" si="15"/>
        <v>1.822000710058822E-15</v>
      </c>
      <c r="T53" s="29">
        <f t="shared" si="16"/>
        <v>-5.159648781942116E-30</v>
      </c>
      <c r="U53" s="29">
        <f t="shared" si="17"/>
        <v>2.4473598895147867E-15</v>
      </c>
      <c r="V53" s="21">
        <f t="shared" si="18"/>
        <v>1.5363595344853756E-15</v>
      </c>
      <c r="W53" s="21">
        <f t="shared" si="19"/>
        <v>25.080381537925014</v>
      </c>
      <c r="X53" s="21">
        <f t="shared" si="20"/>
        <v>2.4552208756668406E-15</v>
      </c>
      <c r="Y53" s="21">
        <f t="shared" si="21"/>
        <v>40.080381537925014</v>
      </c>
      <c r="Z53" s="21">
        <f t="shared" si="0"/>
        <v>0.0803815379250139</v>
      </c>
      <c r="AA53" s="21">
        <f t="shared" si="22"/>
        <v>0.005358769195000927</v>
      </c>
    </row>
    <row r="54" spans="1:27" ht="12.75">
      <c r="A54" s="6"/>
      <c r="B54" s="23">
        <v>36</v>
      </c>
      <c r="C54" s="77">
        <v>270</v>
      </c>
      <c r="D54" s="18">
        <f t="shared" si="1"/>
        <v>-2.756584023544395E-15</v>
      </c>
      <c r="E54" s="18">
        <f t="shared" si="2"/>
        <v>-15</v>
      </c>
      <c r="F54" s="18">
        <f t="shared" si="3"/>
        <v>5.51316804708879E-15</v>
      </c>
      <c r="G54" s="77">
        <f t="shared" si="4"/>
        <v>-1375</v>
      </c>
      <c r="H54" s="77">
        <f t="shared" si="5"/>
        <v>37.080992435478315</v>
      </c>
      <c r="I54" s="18">
        <f t="shared" si="6"/>
        <v>37.080992435478315</v>
      </c>
      <c r="J54" s="18">
        <f t="shared" si="7"/>
        <v>0</v>
      </c>
      <c r="K54" s="21">
        <f t="shared" si="8"/>
        <v>52.080992435478315</v>
      </c>
      <c r="L54" s="83">
        <f t="shared" si="9"/>
        <v>0</v>
      </c>
      <c r="M54" s="21">
        <f t="shared" si="10"/>
        <v>12.080992435478315</v>
      </c>
      <c r="N54" s="21">
        <f t="shared" si="11"/>
        <v>0.8053994956985543</v>
      </c>
      <c r="O54" s="86"/>
      <c r="P54" s="77">
        <f t="shared" si="12"/>
        <v>270</v>
      </c>
      <c r="Q54" s="18">
        <f t="shared" si="13"/>
        <v>-2.756584023544395E-15</v>
      </c>
      <c r="R54" s="18">
        <f t="shared" si="14"/>
        <v>-15</v>
      </c>
      <c r="S54" s="18">
        <f t="shared" si="15"/>
        <v>1.83772268236293E-15</v>
      </c>
      <c r="T54" s="77">
        <f t="shared" si="16"/>
        <v>-5.159648781942116E-30</v>
      </c>
      <c r="U54" s="77">
        <f t="shared" si="17"/>
        <v>2.45029690981724E-15</v>
      </c>
      <c r="V54" s="18">
        <f t="shared" si="18"/>
        <v>1.531435568635775E-15</v>
      </c>
      <c r="W54" s="18">
        <f t="shared" si="19"/>
        <v>25</v>
      </c>
      <c r="X54" s="21">
        <f t="shared" si="20"/>
        <v>2.45029690981724E-15</v>
      </c>
      <c r="Y54" s="21">
        <f t="shared" si="21"/>
        <v>40</v>
      </c>
      <c r="Z54" s="21">
        <f t="shared" si="0"/>
        <v>0</v>
      </c>
      <c r="AA54" s="21">
        <f t="shared" si="22"/>
        <v>0</v>
      </c>
    </row>
    <row r="55" spans="2:27" ht="12.75">
      <c r="B55" s="24">
        <v>37</v>
      </c>
      <c r="C55" s="29">
        <v>277.5</v>
      </c>
      <c r="D55" s="21">
        <f t="shared" si="1"/>
        <v>1.957892883300782</v>
      </c>
      <c r="E55" s="21">
        <f t="shared" si="2"/>
        <v>-14.871672920607155</v>
      </c>
      <c r="F55" s="21">
        <f t="shared" si="3"/>
        <v>-3.915785766601538</v>
      </c>
      <c r="G55" s="29">
        <f t="shared" si="4"/>
        <v>-1375</v>
      </c>
      <c r="H55" s="29">
        <f t="shared" si="5"/>
        <v>37.13264526723729</v>
      </c>
      <c r="I55" s="21">
        <f t="shared" si="6"/>
        <v>39.09053815053806</v>
      </c>
      <c r="J55" s="21">
        <f t="shared" si="7"/>
        <v>0</v>
      </c>
      <c r="K55" s="21">
        <f t="shared" si="8"/>
        <v>54.09053815053806</v>
      </c>
      <c r="L55" s="83">
        <f t="shared" si="9"/>
        <v>0</v>
      </c>
      <c r="M55" s="21">
        <f t="shared" si="10"/>
        <v>14.090538150538059</v>
      </c>
      <c r="N55" s="21">
        <f t="shared" si="11"/>
        <v>0.9393692100358706</v>
      </c>
      <c r="O55" s="86"/>
      <c r="P55" s="43">
        <f t="shared" si="12"/>
        <v>277.5</v>
      </c>
      <c r="Q55" s="21">
        <f t="shared" si="13"/>
        <v>1.957892883300769</v>
      </c>
      <c r="R55" s="21">
        <f t="shared" si="14"/>
        <v>-14.871672920607157</v>
      </c>
      <c r="S55" s="21">
        <f t="shared" si="15"/>
        <v>1.8220007100588225E-15</v>
      </c>
      <c r="T55" s="29">
        <f t="shared" si="16"/>
        <v>-5.159648781942116E-30</v>
      </c>
      <c r="U55" s="29">
        <f t="shared" si="17"/>
        <v>2.4473598895147867E-15</v>
      </c>
      <c r="V55" s="21">
        <f t="shared" si="18"/>
        <v>1.5363595344853754E-15</v>
      </c>
      <c r="W55" s="21">
        <f t="shared" si="19"/>
        <v>25.080381537925014</v>
      </c>
      <c r="X55" s="21">
        <f t="shared" si="20"/>
        <v>2.4552208756668402E-15</v>
      </c>
      <c r="Y55" s="21">
        <f t="shared" si="21"/>
        <v>40.080381537925014</v>
      </c>
      <c r="Z55" s="21">
        <f t="shared" si="0"/>
        <v>0.0803815379250139</v>
      </c>
      <c r="AA55" s="21">
        <f t="shared" si="22"/>
        <v>0.005358769195000927</v>
      </c>
    </row>
    <row r="56" spans="2:27" ht="12.75">
      <c r="B56" s="24">
        <v>38</v>
      </c>
      <c r="C56" s="29">
        <v>285</v>
      </c>
      <c r="D56" s="21">
        <f t="shared" si="1"/>
        <v>3.882285676537817</v>
      </c>
      <c r="E56" s="21">
        <f t="shared" si="2"/>
        <v>-14.488887394336023</v>
      </c>
      <c r="F56" s="21">
        <f t="shared" si="3"/>
        <v>-7.764571353075609</v>
      </c>
      <c r="G56" s="29">
        <f t="shared" si="4"/>
        <v>-1375</v>
      </c>
      <c r="H56" s="29">
        <f t="shared" si="5"/>
        <v>37.28367125263083</v>
      </c>
      <c r="I56" s="21">
        <f t="shared" si="6"/>
        <v>41.16595692916864</v>
      </c>
      <c r="J56" s="21">
        <f t="shared" si="7"/>
        <v>0</v>
      </c>
      <c r="K56" s="21">
        <f t="shared" si="8"/>
        <v>56.16595692916864</v>
      </c>
      <c r="L56" s="83">
        <f t="shared" si="9"/>
        <v>0</v>
      </c>
      <c r="M56" s="21">
        <f t="shared" si="10"/>
        <v>16.165956929168637</v>
      </c>
      <c r="N56" s="21">
        <f t="shared" si="11"/>
        <v>1.0777304619445758</v>
      </c>
      <c r="O56" s="86"/>
      <c r="P56" s="43">
        <f t="shared" si="12"/>
        <v>285</v>
      </c>
      <c r="Q56" s="21">
        <f t="shared" si="13"/>
        <v>3.8822856765378044</v>
      </c>
      <c r="R56" s="21">
        <f t="shared" si="14"/>
        <v>-14.488887394336027</v>
      </c>
      <c r="S56" s="21">
        <f t="shared" si="15"/>
        <v>1.7751038004515764E-15</v>
      </c>
      <c r="T56" s="29">
        <f t="shared" si="16"/>
        <v>-5.159648781942116E-30</v>
      </c>
      <c r="U56" s="29">
        <f t="shared" si="17"/>
        <v>2.438728594480436E-15</v>
      </c>
      <c r="V56" s="21">
        <f t="shared" si="18"/>
        <v>1.5511766942546478E-15</v>
      </c>
      <c r="W56" s="21">
        <f t="shared" si="19"/>
        <v>25.322265037184334</v>
      </c>
      <c r="X56" s="21">
        <f t="shared" si="20"/>
        <v>2.470038035436113E-15</v>
      </c>
      <c r="Y56" s="21">
        <f t="shared" si="21"/>
        <v>40.32226503718434</v>
      </c>
      <c r="Z56" s="21">
        <f t="shared" si="0"/>
        <v>0.32226503718433364</v>
      </c>
      <c r="AA56" s="21">
        <f t="shared" si="22"/>
        <v>0.02148433581228891</v>
      </c>
    </row>
    <row r="57" spans="2:27" ht="12.75">
      <c r="B57" s="24">
        <v>39</v>
      </c>
      <c r="C57" s="29">
        <v>292.5</v>
      </c>
      <c r="D57" s="21">
        <f t="shared" si="1"/>
        <v>5.7402514854763504</v>
      </c>
      <c r="E57" s="21">
        <f t="shared" si="2"/>
        <v>-13.8581929876693</v>
      </c>
      <c r="F57" s="21">
        <f t="shared" si="3"/>
        <v>-11.480502970952701</v>
      </c>
      <c r="G57" s="29">
        <f t="shared" si="4"/>
        <v>-1375</v>
      </c>
      <c r="H57" s="29">
        <f t="shared" si="5"/>
        <v>37.52266631139788</v>
      </c>
      <c r="I57" s="21">
        <f t="shared" si="6"/>
        <v>43.26291779687423</v>
      </c>
      <c r="J57" s="21">
        <f t="shared" si="7"/>
        <v>0</v>
      </c>
      <c r="K57" s="21">
        <f t="shared" si="8"/>
        <v>58.26291779687423</v>
      </c>
      <c r="L57" s="83">
        <f t="shared" si="9"/>
        <v>0</v>
      </c>
      <c r="M57" s="21">
        <f t="shared" si="10"/>
        <v>18.262917796874227</v>
      </c>
      <c r="N57" s="21">
        <f t="shared" si="11"/>
        <v>1.2175278531249485</v>
      </c>
      <c r="O57" s="86"/>
      <c r="P57" s="43">
        <f t="shared" si="12"/>
        <v>292.5</v>
      </c>
      <c r="Q57" s="21">
        <f t="shared" si="13"/>
        <v>5.7402514854763504</v>
      </c>
      <c r="R57" s="21">
        <f t="shared" si="14"/>
        <v>-13.8581929876693</v>
      </c>
      <c r="S57" s="21">
        <f t="shared" si="15"/>
        <v>1.6978343726668514E-15</v>
      </c>
      <c r="T57" s="29">
        <f t="shared" si="16"/>
        <v>-5.159648781942116E-30</v>
      </c>
      <c r="U57" s="29">
        <f t="shared" si="17"/>
        <v>2.424934879784275E-15</v>
      </c>
      <c r="V57" s="21">
        <f t="shared" si="18"/>
        <v>1.5760176934508493E-15</v>
      </c>
      <c r="W57" s="21">
        <f t="shared" si="19"/>
        <v>25.72778322719102</v>
      </c>
      <c r="X57" s="21">
        <f t="shared" si="20"/>
        <v>2.4948790346323145E-15</v>
      </c>
      <c r="Y57" s="21">
        <f t="shared" si="21"/>
        <v>40.72778322719102</v>
      </c>
      <c r="Z57" s="21">
        <f t="shared" si="0"/>
        <v>0.7277832271910185</v>
      </c>
      <c r="AA57" s="21">
        <f t="shared" si="22"/>
        <v>0.04851888181273457</v>
      </c>
    </row>
    <row r="58" spans="2:27" ht="12.75">
      <c r="B58" s="24">
        <v>40</v>
      </c>
      <c r="C58" s="29">
        <v>300</v>
      </c>
      <c r="D58" s="21">
        <f t="shared" si="1"/>
        <v>7.500000000000002</v>
      </c>
      <c r="E58" s="21">
        <f t="shared" si="2"/>
        <v>-12.990381056766578</v>
      </c>
      <c r="F58" s="21">
        <f t="shared" si="3"/>
        <v>-15.000000000000004</v>
      </c>
      <c r="G58" s="29">
        <f t="shared" si="4"/>
        <v>-1375</v>
      </c>
      <c r="H58" s="29">
        <f t="shared" si="5"/>
        <v>37.83186487605389</v>
      </c>
      <c r="I58" s="21">
        <f t="shared" si="6"/>
        <v>45.33186487605389</v>
      </c>
      <c r="J58" s="21">
        <f t="shared" si="7"/>
        <v>0</v>
      </c>
      <c r="K58" s="21">
        <f t="shared" si="8"/>
        <v>60.33186487605389</v>
      </c>
      <c r="L58" s="83">
        <f t="shared" si="9"/>
        <v>0</v>
      </c>
      <c r="M58" s="21">
        <f t="shared" si="10"/>
        <v>20.331864876053892</v>
      </c>
      <c r="N58" s="21">
        <f t="shared" si="11"/>
        <v>1.355457658403593</v>
      </c>
      <c r="O58" s="86"/>
      <c r="P58" s="43">
        <f t="shared" si="12"/>
        <v>300</v>
      </c>
      <c r="Q58" s="21">
        <f t="shared" si="13"/>
        <v>7.500000000000002</v>
      </c>
      <c r="R58" s="21">
        <f t="shared" si="14"/>
        <v>-12.990381056766578</v>
      </c>
      <c r="S58" s="21">
        <f t="shared" si="15"/>
        <v>1.591514528037178E-15</v>
      </c>
      <c r="T58" s="29">
        <f t="shared" si="16"/>
        <v>-5.159648781942116E-30</v>
      </c>
      <c r="U58" s="29">
        <f t="shared" si="17"/>
        <v>2.4068399209711614E-15</v>
      </c>
      <c r="V58" s="21">
        <f t="shared" si="18"/>
        <v>1.6110826569525724E-15</v>
      </c>
      <c r="W58" s="21">
        <f t="shared" si="19"/>
        <v>26.3002030569877</v>
      </c>
      <c r="X58" s="21">
        <f t="shared" si="20"/>
        <v>2.5299439981340374E-15</v>
      </c>
      <c r="Y58" s="21">
        <f t="shared" si="21"/>
        <v>41.3002030569877</v>
      </c>
      <c r="Z58" s="21">
        <f t="shared" si="0"/>
        <v>1.3002030569877014</v>
      </c>
      <c r="AA58" s="21">
        <f t="shared" si="22"/>
        <v>0.0866802037991801</v>
      </c>
    </row>
    <row r="59" spans="2:27" ht="12.75">
      <c r="B59" s="24">
        <v>41</v>
      </c>
      <c r="C59" s="29">
        <v>307.5</v>
      </c>
      <c r="D59" s="21">
        <f t="shared" si="1"/>
        <v>9.131421435130807</v>
      </c>
      <c r="E59" s="21">
        <f t="shared" si="2"/>
        <v>-11.900300104368528</v>
      </c>
      <c r="F59" s="21">
        <f t="shared" si="3"/>
        <v>-18.262842870261615</v>
      </c>
      <c r="G59" s="29">
        <f t="shared" si="4"/>
        <v>-1375</v>
      </c>
      <c r="H59" s="29">
        <f t="shared" si="5"/>
        <v>38.18877920837437</v>
      </c>
      <c r="I59" s="21">
        <f t="shared" si="6"/>
        <v>47.320200643505174</v>
      </c>
      <c r="J59" s="21">
        <f t="shared" si="7"/>
        <v>0</v>
      </c>
      <c r="K59" s="21">
        <f t="shared" si="8"/>
        <v>62.320200643505174</v>
      </c>
      <c r="L59" s="83">
        <f t="shared" si="9"/>
        <v>0</v>
      </c>
      <c r="M59" s="21">
        <f t="shared" si="10"/>
        <v>22.320200643505174</v>
      </c>
      <c r="N59" s="21">
        <f t="shared" si="11"/>
        <v>1.4880133762336782</v>
      </c>
      <c r="O59" s="86"/>
      <c r="P59" s="43">
        <f t="shared" si="12"/>
        <v>307.5</v>
      </c>
      <c r="Q59" s="21">
        <f t="shared" si="13"/>
        <v>9.131421435130807</v>
      </c>
      <c r="R59" s="21">
        <f t="shared" si="14"/>
        <v>-11.900300104368528</v>
      </c>
      <c r="S59" s="21">
        <f t="shared" si="15"/>
        <v>1.457963428581599E-15</v>
      </c>
      <c r="T59" s="29">
        <f t="shared" si="16"/>
        <v>-5.159648781942116E-30</v>
      </c>
      <c r="U59" s="29">
        <f t="shared" si="17"/>
        <v>2.3855949198706115E-15</v>
      </c>
      <c r="V59" s="21">
        <f t="shared" si="18"/>
        <v>1.6566132055798121E-15</v>
      </c>
      <c r="W59" s="21">
        <f t="shared" si="19"/>
        <v>27.043468878281754</v>
      </c>
      <c r="X59" s="21">
        <f t="shared" si="20"/>
        <v>2.575474546761277E-15</v>
      </c>
      <c r="Y59" s="21">
        <f t="shared" si="21"/>
        <v>42.04346887828176</v>
      </c>
      <c r="Z59" s="21">
        <f t="shared" si="0"/>
        <v>2.043468878281754</v>
      </c>
      <c r="AA59" s="21">
        <f t="shared" si="22"/>
        <v>0.13623125855211693</v>
      </c>
    </row>
    <row r="60" spans="2:27" ht="12.75">
      <c r="B60" s="24">
        <v>42</v>
      </c>
      <c r="C60" s="29">
        <v>315</v>
      </c>
      <c r="D60" s="21">
        <f t="shared" si="1"/>
        <v>10.60660171779821</v>
      </c>
      <c r="E60" s="21">
        <f t="shared" si="2"/>
        <v>-10.606601717798215</v>
      </c>
      <c r="F60" s="21">
        <f t="shared" si="3"/>
        <v>-21.21320343559642</v>
      </c>
      <c r="G60" s="29">
        <f t="shared" si="4"/>
        <v>-1375</v>
      </c>
      <c r="H60" s="29">
        <f t="shared" si="5"/>
        <v>38.568121551353784</v>
      </c>
      <c r="I60" s="21">
        <f t="shared" si="6"/>
        <v>49.174723269152</v>
      </c>
      <c r="J60" s="21">
        <f t="shared" si="7"/>
        <v>0</v>
      </c>
      <c r="K60" s="21">
        <f t="shared" si="8"/>
        <v>64.174723269152</v>
      </c>
      <c r="L60" s="83">
        <f t="shared" si="9"/>
        <v>0</v>
      </c>
      <c r="M60" s="21">
        <f t="shared" si="10"/>
        <v>24.174723269151997</v>
      </c>
      <c r="N60" s="21">
        <f t="shared" si="11"/>
        <v>1.6116482179434664</v>
      </c>
      <c r="O60" s="86"/>
      <c r="P60" s="43">
        <f t="shared" si="12"/>
        <v>315</v>
      </c>
      <c r="Q60" s="21">
        <f t="shared" si="13"/>
        <v>10.60660171779821</v>
      </c>
      <c r="R60" s="21">
        <f t="shared" si="14"/>
        <v>-10.606601717798215</v>
      </c>
      <c r="S60" s="21">
        <f t="shared" si="15"/>
        <v>1.2994661706391598E-15</v>
      </c>
      <c r="T60" s="29">
        <f t="shared" si="16"/>
        <v>-5.159648781942116E-30</v>
      </c>
      <c r="U60" s="29">
        <f t="shared" si="17"/>
        <v>2.362583726368447E-15</v>
      </c>
      <c r="V60" s="21">
        <f t="shared" si="18"/>
        <v>1.7128506410488668E-15</v>
      </c>
      <c r="W60" s="21">
        <f t="shared" si="19"/>
        <v>27.961519833555567</v>
      </c>
      <c r="X60" s="21">
        <f t="shared" si="20"/>
        <v>2.631711982230332E-15</v>
      </c>
      <c r="Y60" s="21">
        <f t="shared" si="21"/>
        <v>42.96151983355557</v>
      </c>
      <c r="Z60" s="21">
        <f t="shared" si="0"/>
        <v>2.961519833555567</v>
      </c>
      <c r="AA60" s="21">
        <f t="shared" si="22"/>
        <v>0.19743465557037113</v>
      </c>
    </row>
    <row r="61" spans="2:27" ht="12.75">
      <c r="B61" s="24">
        <v>43</v>
      </c>
      <c r="C61" s="29">
        <v>322.5</v>
      </c>
      <c r="D61" s="21">
        <f t="shared" si="1"/>
        <v>11.900300104368524</v>
      </c>
      <c r="E61" s="21">
        <f t="shared" si="2"/>
        <v>-9.131421435130813</v>
      </c>
      <c r="F61" s="21">
        <f t="shared" si="3"/>
        <v>-23.80060020873705</v>
      </c>
      <c r="G61" s="29">
        <f t="shared" si="4"/>
        <v>-1375</v>
      </c>
      <c r="H61" s="29">
        <f t="shared" si="5"/>
        <v>38.943768982650276</v>
      </c>
      <c r="I61" s="21">
        <f t="shared" si="6"/>
        <v>50.8440690870188</v>
      </c>
      <c r="J61" s="21">
        <f t="shared" si="7"/>
        <v>0</v>
      </c>
      <c r="K61" s="21">
        <f t="shared" si="8"/>
        <v>65.8440690870188</v>
      </c>
      <c r="L61" s="83">
        <f t="shared" si="9"/>
        <v>0</v>
      </c>
      <c r="M61" s="21">
        <f t="shared" si="10"/>
        <v>25.844069087018802</v>
      </c>
      <c r="N61" s="21">
        <f t="shared" si="11"/>
        <v>1.7229379391345867</v>
      </c>
      <c r="O61" s="86"/>
      <c r="P61" s="43">
        <f t="shared" si="12"/>
        <v>322.5</v>
      </c>
      <c r="Q61" s="21">
        <f t="shared" si="13"/>
        <v>11.900300104368524</v>
      </c>
      <c r="R61" s="21">
        <f t="shared" si="14"/>
        <v>-9.131421435130813</v>
      </c>
      <c r="S61" s="21">
        <f t="shared" si="15"/>
        <v>1.1187346862369969E-15</v>
      </c>
      <c r="T61" s="29">
        <f t="shared" si="16"/>
        <v>-5.159648781942116E-30</v>
      </c>
      <c r="U61" s="29">
        <f t="shared" si="17"/>
        <v>2.3393461920993146E-15</v>
      </c>
      <c r="V61" s="21">
        <f t="shared" si="18"/>
        <v>1.779978848980816E-15</v>
      </c>
      <c r="W61" s="21">
        <f t="shared" si="19"/>
        <v>29.057357773243556</v>
      </c>
      <c r="X61" s="21">
        <f t="shared" si="20"/>
        <v>2.698840190162281E-15</v>
      </c>
      <c r="Y61" s="21">
        <f t="shared" si="21"/>
        <v>44.05735777324355</v>
      </c>
      <c r="Z61" s="21">
        <f t="shared" si="0"/>
        <v>4.057357773243556</v>
      </c>
      <c r="AA61" s="21">
        <f t="shared" si="22"/>
        <v>0.27049051821623704</v>
      </c>
    </row>
    <row r="62" spans="2:27" ht="12.75">
      <c r="B62" s="24">
        <v>44</v>
      </c>
      <c r="C62" s="29">
        <v>330</v>
      </c>
      <c r="D62" s="21">
        <f t="shared" si="1"/>
        <v>12.990381056766577</v>
      </c>
      <c r="E62" s="21">
        <f t="shared" si="2"/>
        <v>-7.500000000000007</v>
      </c>
      <c r="F62" s="21">
        <f t="shared" si="3"/>
        <v>-25.980762113533153</v>
      </c>
      <c r="G62" s="29">
        <f t="shared" si="4"/>
        <v>-1375</v>
      </c>
      <c r="H62" s="29">
        <f t="shared" si="5"/>
        <v>39.29058411375428</v>
      </c>
      <c r="I62" s="21">
        <f t="shared" si="6"/>
        <v>52.28096517052086</v>
      </c>
      <c r="J62" s="21">
        <f t="shared" si="7"/>
        <v>0</v>
      </c>
      <c r="K62" s="21">
        <f t="shared" si="8"/>
        <v>67.28096517052086</v>
      </c>
      <c r="L62" s="83">
        <f t="shared" si="9"/>
        <v>0</v>
      </c>
      <c r="M62" s="21">
        <f t="shared" si="10"/>
        <v>27.280965170520858</v>
      </c>
      <c r="N62" s="21">
        <f t="shared" si="11"/>
        <v>1.8187310113680573</v>
      </c>
      <c r="O62" s="86"/>
      <c r="P62" s="43">
        <f t="shared" si="12"/>
        <v>330</v>
      </c>
      <c r="Q62" s="21">
        <f t="shared" si="13"/>
        <v>12.990381056766577</v>
      </c>
      <c r="R62" s="21">
        <f t="shared" si="14"/>
        <v>-7.500000000000007</v>
      </c>
      <c r="S62" s="21">
        <f t="shared" si="15"/>
        <v>9.188613411814658E-16</v>
      </c>
      <c r="T62" s="29">
        <f t="shared" si="16"/>
        <v>-5.159648781942116E-30</v>
      </c>
      <c r="U62" s="29">
        <f t="shared" si="17"/>
        <v>2.317482539960456E-15</v>
      </c>
      <c r="V62" s="21">
        <f t="shared" si="18"/>
        <v>1.858051869369723E-15</v>
      </c>
      <c r="W62" s="21">
        <f t="shared" si="19"/>
        <v>30.331864876053885</v>
      </c>
      <c r="X62" s="21">
        <f t="shared" si="20"/>
        <v>2.776913210551188E-15</v>
      </c>
      <c r="Y62" s="21">
        <f t="shared" si="21"/>
        <v>45.331864876053885</v>
      </c>
      <c r="Z62" s="21">
        <f t="shared" si="0"/>
        <v>5.331864876053885</v>
      </c>
      <c r="AA62" s="21">
        <f t="shared" si="22"/>
        <v>0.35545765840359234</v>
      </c>
    </row>
    <row r="63" spans="2:27" ht="12.75">
      <c r="B63" s="24">
        <v>45</v>
      </c>
      <c r="C63" s="29">
        <v>337.5</v>
      </c>
      <c r="D63" s="21">
        <f t="shared" si="1"/>
        <v>13.858192987669304</v>
      </c>
      <c r="E63" s="21">
        <f t="shared" si="2"/>
        <v>-5.740251485476343</v>
      </c>
      <c r="F63" s="21">
        <f t="shared" si="3"/>
        <v>-27.716385975338607</v>
      </c>
      <c r="G63" s="29">
        <f t="shared" si="4"/>
        <v>-1375</v>
      </c>
      <c r="H63" s="29">
        <f t="shared" si="5"/>
        <v>39.58597621486032</v>
      </c>
      <c r="I63" s="21">
        <f t="shared" si="6"/>
        <v>53.44416920252962</v>
      </c>
      <c r="J63" s="21">
        <f t="shared" si="7"/>
        <v>0</v>
      </c>
      <c r="K63" s="21">
        <f t="shared" si="8"/>
        <v>68.44416920252962</v>
      </c>
      <c r="L63" s="83">
        <f t="shared" si="9"/>
        <v>0</v>
      </c>
      <c r="M63" s="21">
        <f t="shared" si="10"/>
        <v>28.444169202529622</v>
      </c>
      <c r="N63" s="21">
        <f t="shared" si="11"/>
        <v>1.8962779468353081</v>
      </c>
      <c r="O63" s="86"/>
      <c r="P63" s="43">
        <f t="shared" si="12"/>
        <v>337.5</v>
      </c>
      <c r="Q63" s="21">
        <f t="shared" si="13"/>
        <v>13.858192987669304</v>
      </c>
      <c r="R63" s="21">
        <f t="shared" si="14"/>
        <v>-5.740251485476343</v>
      </c>
      <c r="S63" s="21">
        <f t="shared" si="15"/>
        <v>7.032660238218252E-16</v>
      </c>
      <c r="T63" s="29">
        <f t="shared" si="16"/>
        <v>-5.159648781942116E-30</v>
      </c>
      <c r="U63" s="29">
        <f t="shared" si="17"/>
        <v>2.2985418327730423E-15</v>
      </c>
      <c r="V63" s="21">
        <f t="shared" si="18"/>
        <v>1.9469088208621296E-15</v>
      </c>
      <c r="W63" s="21">
        <f t="shared" si="19"/>
        <v>31.782414825921542</v>
      </c>
      <c r="X63" s="21">
        <f t="shared" si="20"/>
        <v>2.8657701620435947E-15</v>
      </c>
      <c r="Y63" s="21">
        <f t="shared" si="21"/>
        <v>46.78241482592154</v>
      </c>
      <c r="Z63" s="21">
        <f t="shared" si="0"/>
        <v>6.782414825921542</v>
      </c>
      <c r="AA63" s="21">
        <f t="shared" si="22"/>
        <v>0.4521609883947695</v>
      </c>
    </row>
    <row r="64" spans="2:27" ht="12.75">
      <c r="B64" s="24">
        <v>46</v>
      </c>
      <c r="C64" s="29">
        <v>345</v>
      </c>
      <c r="D64" s="21">
        <f t="shared" si="1"/>
        <v>14.488887394336025</v>
      </c>
      <c r="E64" s="21">
        <f t="shared" si="2"/>
        <v>-3.88228567653781</v>
      </c>
      <c r="F64" s="21">
        <f t="shared" si="3"/>
        <v>-28.97777478867205</v>
      </c>
      <c r="G64" s="29">
        <f t="shared" si="4"/>
        <v>-1375</v>
      </c>
      <c r="H64" s="29">
        <f t="shared" si="5"/>
        <v>39.811152431520355</v>
      </c>
      <c r="I64" s="21">
        <f t="shared" si="6"/>
        <v>54.30003982585638</v>
      </c>
      <c r="J64" s="21">
        <f t="shared" si="7"/>
        <v>0</v>
      </c>
      <c r="K64" s="21">
        <f t="shared" si="8"/>
        <v>69.30003982585637</v>
      </c>
      <c r="L64" s="83">
        <f t="shared" si="9"/>
        <v>0</v>
      </c>
      <c r="M64" s="21">
        <f t="shared" si="10"/>
        <v>29.30003982585638</v>
      </c>
      <c r="N64" s="21">
        <f t="shared" si="11"/>
        <v>1.9533359883904253</v>
      </c>
      <c r="O64" s="86"/>
      <c r="P64" s="43">
        <f t="shared" si="12"/>
        <v>345</v>
      </c>
      <c r="Q64" s="21">
        <f t="shared" si="13"/>
        <v>14.488887394336025</v>
      </c>
      <c r="R64" s="21">
        <f t="shared" si="14"/>
        <v>-3.88228567653781</v>
      </c>
      <c r="S64" s="21">
        <f t="shared" si="15"/>
        <v>4.756376298124164E-16</v>
      </c>
      <c r="T64" s="29">
        <f t="shared" si="16"/>
        <v>-5.159648781942116E-30</v>
      </c>
      <c r="U64" s="29">
        <f t="shared" si="17"/>
        <v>2.2839016114240797E-15</v>
      </c>
      <c r="V64" s="21">
        <f t="shared" si="18"/>
        <v>2.0460827965178715E-15</v>
      </c>
      <c r="W64" s="21">
        <f t="shared" si="19"/>
        <v>33.40138557609302</v>
      </c>
      <c r="X64" s="21">
        <f t="shared" si="20"/>
        <v>2.9649441376993365E-15</v>
      </c>
      <c r="Y64" s="21">
        <f t="shared" si="21"/>
        <v>48.40138557609302</v>
      </c>
      <c r="Z64" s="21">
        <f t="shared" si="0"/>
        <v>8.40138557609302</v>
      </c>
      <c r="AA64" s="21">
        <f t="shared" si="22"/>
        <v>0.5600923717395346</v>
      </c>
    </row>
    <row r="65" spans="2:27" ht="12.75">
      <c r="B65" s="24">
        <v>47</v>
      </c>
      <c r="C65" s="29">
        <v>352.5</v>
      </c>
      <c r="D65" s="21">
        <f t="shared" si="1"/>
        <v>14.871672920607155</v>
      </c>
      <c r="E65" s="21">
        <f t="shared" si="2"/>
        <v>-1.9578928833007754</v>
      </c>
      <c r="F65" s="21">
        <f t="shared" si="3"/>
        <v>-29.74334584121431</v>
      </c>
      <c r="G65" s="29">
        <f t="shared" si="4"/>
        <v>-1375</v>
      </c>
      <c r="H65" s="29">
        <f t="shared" si="5"/>
        <v>39.95205445853217</v>
      </c>
      <c r="I65" s="21">
        <f t="shared" si="6"/>
        <v>54.82372737913932</v>
      </c>
      <c r="J65" s="21">
        <f t="shared" si="7"/>
        <v>0</v>
      </c>
      <c r="K65" s="21">
        <f t="shared" si="8"/>
        <v>69.82372737913931</v>
      </c>
      <c r="L65" s="83">
        <f t="shared" si="9"/>
        <v>0</v>
      </c>
      <c r="M65" s="21">
        <f t="shared" si="10"/>
        <v>29.82372737913932</v>
      </c>
      <c r="N65" s="21">
        <f t="shared" si="11"/>
        <v>1.9882484919426213</v>
      </c>
      <c r="O65" s="86"/>
      <c r="P65" s="43">
        <f t="shared" si="12"/>
        <v>352.5</v>
      </c>
      <c r="Q65" s="21">
        <f t="shared" si="13"/>
        <v>14.871672920607155</v>
      </c>
      <c r="R65" s="21">
        <f t="shared" si="14"/>
        <v>-1.9578928833007754</v>
      </c>
      <c r="S65" s="21">
        <f t="shared" si="15"/>
        <v>2.398709440852527E-16</v>
      </c>
      <c r="T65" s="29">
        <f t="shared" si="16"/>
        <v>-5.159648781942116E-30</v>
      </c>
      <c r="U65" s="29">
        <f t="shared" si="17"/>
        <v>2.2746501487912824E-15</v>
      </c>
      <c r="V65" s="21">
        <f t="shared" si="18"/>
        <v>2.154714676748656E-15</v>
      </c>
      <c r="W65" s="21">
        <f t="shared" si="19"/>
        <v>35.174752383936514</v>
      </c>
      <c r="X65" s="21">
        <f t="shared" si="20"/>
        <v>3.073576017930121E-15</v>
      </c>
      <c r="Y65" s="21">
        <f t="shared" si="21"/>
        <v>50.174752383936514</v>
      </c>
      <c r="Z65" s="21">
        <f t="shared" si="0"/>
        <v>10.174752383936514</v>
      </c>
      <c r="AA65" s="21">
        <f t="shared" si="22"/>
        <v>0.6783168255957677</v>
      </c>
    </row>
    <row r="66" spans="1:27" ht="13.5" thickBot="1">
      <c r="A66" s="6"/>
      <c r="B66" s="80">
        <v>48</v>
      </c>
      <c r="C66" s="75">
        <v>360</v>
      </c>
      <c r="D66" s="76">
        <f t="shared" si="1"/>
        <v>15</v>
      </c>
      <c r="E66" s="76">
        <f t="shared" si="2"/>
        <v>-3.67544536472586E-15</v>
      </c>
      <c r="F66" s="76">
        <f t="shared" si="3"/>
        <v>-30</v>
      </c>
      <c r="G66" s="75">
        <f t="shared" si="4"/>
        <v>-1375</v>
      </c>
      <c r="H66" s="75">
        <f t="shared" si="5"/>
        <v>40</v>
      </c>
      <c r="I66" s="76">
        <f t="shared" si="6"/>
        <v>55</v>
      </c>
      <c r="J66" s="76">
        <f t="shared" si="7"/>
        <v>0</v>
      </c>
      <c r="K66" s="76">
        <f t="shared" si="8"/>
        <v>70</v>
      </c>
      <c r="L66" s="164">
        <f t="shared" si="9"/>
        <v>0</v>
      </c>
      <c r="M66" s="76">
        <f t="shared" si="10"/>
        <v>30</v>
      </c>
      <c r="N66" s="76">
        <f t="shared" si="11"/>
        <v>2</v>
      </c>
      <c r="O66" s="87"/>
      <c r="P66" s="75">
        <f t="shared" si="12"/>
        <v>360</v>
      </c>
      <c r="Q66" s="76">
        <f t="shared" si="13"/>
        <v>15</v>
      </c>
      <c r="R66" s="76">
        <f t="shared" si="14"/>
        <v>-3.67544536472586E-15</v>
      </c>
      <c r="S66" s="76">
        <f t="shared" si="15"/>
        <v>3.377224657271203E-31</v>
      </c>
      <c r="T66" s="75">
        <f t="shared" si="16"/>
        <v>-5.159648781942116E-30</v>
      </c>
      <c r="U66" s="75">
        <f t="shared" si="17"/>
        <v>2.2714860294402244E-15</v>
      </c>
      <c r="V66" s="76">
        <f t="shared" si="18"/>
        <v>2.2714860294402244E-15</v>
      </c>
      <c r="W66" s="76">
        <f t="shared" si="19"/>
        <v>37.080992435478315</v>
      </c>
      <c r="X66" s="76">
        <f t="shared" si="20"/>
        <v>3.1903473706216894E-15</v>
      </c>
      <c r="Y66" s="76">
        <f t="shared" si="21"/>
        <v>52.080992435478315</v>
      </c>
      <c r="Z66" s="76">
        <f t="shared" si="0"/>
        <v>12.080992435478315</v>
      </c>
      <c r="AA66" s="76">
        <f t="shared" si="22"/>
        <v>0.8053994956985543</v>
      </c>
    </row>
    <row r="67" spans="1:27" ht="13.5" thickTop="1">
      <c r="A67" s="79"/>
      <c r="B67" s="78" t="s">
        <v>67</v>
      </c>
      <c r="C67" s="91">
        <f>MAX(C18:C66)</f>
        <v>360</v>
      </c>
      <c r="D67" s="91">
        <f>MAX(D18:D66)</f>
        <v>15</v>
      </c>
      <c r="E67" s="91">
        <f aca="true" t="shared" si="23" ref="E67:Z67">MAX(E18:E66)</f>
        <v>15</v>
      </c>
      <c r="F67" s="91">
        <f t="shared" si="23"/>
        <v>30</v>
      </c>
      <c r="G67" s="91">
        <f t="shared" si="23"/>
        <v>-1375</v>
      </c>
      <c r="H67" s="91">
        <f t="shared" si="23"/>
        <v>40</v>
      </c>
      <c r="I67" s="91">
        <f t="shared" si="23"/>
        <v>55</v>
      </c>
      <c r="J67" s="91">
        <f t="shared" si="23"/>
        <v>0</v>
      </c>
      <c r="K67" s="91">
        <f t="shared" si="23"/>
        <v>70</v>
      </c>
      <c r="L67" s="91">
        <f t="shared" si="23"/>
        <v>0</v>
      </c>
      <c r="M67" s="91">
        <f t="shared" si="23"/>
        <v>30</v>
      </c>
      <c r="N67" s="91">
        <f>MAX(N18:N66)</f>
        <v>2</v>
      </c>
      <c r="O67" s="88"/>
      <c r="P67" s="107">
        <f t="shared" si="23"/>
        <v>360</v>
      </c>
      <c r="Q67" s="107">
        <f t="shared" si="23"/>
        <v>15</v>
      </c>
      <c r="R67" s="107">
        <f t="shared" si="23"/>
        <v>15</v>
      </c>
      <c r="S67" s="107">
        <f t="shared" si="23"/>
        <v>1.83772268236293E-15</v>
      </c>
      <c r="T67" s="107">
        <f t="shared" si="23"/>
        <v>-5.159648781942116E-30</v>
      </c>
      <c r="U67" s="107">
        <f t="shared" si="23"/>
        <v>2.45029690981724E-15</v>
      </c>
      <c r="V67" s="107">
        <f t="shared" si="23"/>
        <v>3.369158250998705E-15</v>
      </c>
      <c r="W67" s="107">
        <f t="shared" si="23"/>
        <v>55</v>
      </c>
      <c r="X67" s="107">
        <f t="shared" si="23"/>
        <v>4.28801959218017E-15</v>
      </c>
      <c r="Y67" s="107">
        <f t="shared" si="23"/>
        <v>70</v>
      </c>
      <c r="Z67" s="107">
        <f t="shared" si="23"/>
        <v>30</v>
      </c>
      <c r="AA67" s="107">
        <f>MAX(AA18:AA66)</f>
        <v>2</v>
      </c>
    </row>
    <row r="68" spans="1:27" ht="12.75">
      <c r="A68" s="79"/>
      <c r="B68" s="78" t="s">
        <v>68</v>
      </c>
      <c r="C68" s="56">
        <f>MIN(C18:C66)</f>
        <v>0</v>
      </c>
      <c r="D68" s="56">
        <f>MIN(D18:D66)</f>
        <v>-15</v>
      </c>
      <c r="E68" s="56">
        <f aca="true" t="shared" si="24" ref="E68:AA68">MIN(E18:E66)</f>
        <v>-15</v>
      </c>
      <c r="F68" s="56">
        <f t="shared" si="24"/>
        <v>-30</v>
      </c>
      <c r="G68" s="56">
        <f t="shared" si="24"/>
        <v>-1375</v>
      </c>
      <c r="H68" s="56">
        <f t="shared" si="24"/>
        <v>37.080992435478315</v>
      </c>
      <c r="I68" s="56">
        <f t="shared" si="24"/>
        <v>25</v>
      </c>
      <c r="J68" s="56">
        <f t="shared" si="24"/>
        <v>0</v>
      </c>
      <c r="K68" s="56">
        <f t="shared" si="24"/>
        <v>40</v>
      </c>
      <c r="L68" s="56">
        <f t="shared" si="24"/>
        <v>0</v>
      </c>
      <c r="M68" s="56">
        <f>MIN(M18:M66)</f>
        <v>0</v>
      </c>
      <c r="N68" s="56">
        <f>MIN(N18:N66)</f>
        <v>0</v>
      </c>
      <c r="O68" s="86"/>
      <c r="P68" s="108">
        <f t="shared" si="24"/>
        <v>0</v>
      </c>
      <c r="Q68" s="108">
        <f t="shared" si="24"/>
        <v>-15</v>
      </c>
      <c r="R68" s="108">
        <f t="shared" si="24"/>
        <v>-15</v>
      </c>
      <c r="S68" s="108">
        <f t="shared" si="24"/>
        <v>-1.83772268236293E-15</v>
      </c>
      <c r="T68" s="108">
        <f t="shared" si="24"/>
        <v>-5.159648781942116E-30</v>
      </c>
      <c r="U68" s="108">
        <f t="shared" si="24"/>
        <v>2.2714860294402244E-15</v>
      </c>
      <c r="V68" s="108">
        <f t="shared" si="24"/>
        <v>1.531435568635775E-15</v>
      </c>
      <c r="W68" s="108">
        <f t="shared" si="24"/>
        <v>25</v>
      </c>
      <c r="X68" s="108">
        <f t="shared" si="24"/>
        <v>2.45029690981724E-15</v>
      </c>
      <c r="Y68" s="108">
        <f t="shared" si="24"/>
        <v>40</v>
      </c>
      <c r="Z68" s="108">
        <f>MIN(Z18:Z66)</f>
        <v>0</v>
      </c>
      <c r="AA68" s="108">
        <f t="shared" si="24"/>
        <v>0</v>
      </c>
    </row>
    <row r="69" spans="1:27" ht="12.75">
      <c r="A69" s="79"/>
      <c r="B69" s="78" t="s">
        <v>69</v>
      </c>
      <c r="C69" s="56">
        <f>C67-C68</f>
        <v>360</v>
      </c>
      <c r="D69" s="56">
        <f>D67-D68</f>
        <v>30</v>
      </c>
      <c r="E69" s="56">
        <f aca="true" t="shared" si="25" ref="E69:Z69">E67-E68</f>
        <v>30</v>
      </c>
      <c r="F69" s="56">
        <f t="shared" si="25"/>
        <v>60</v>
      </c>
      <c r="G69" s="56">
        <f t="shared" si="25"/>
        <v>0</v>
      </c>
      <c r="H69" s="56">
        <f t="shared" si="25"/>
        <v>2.919007564521685</v>
      </c>
      <c r="I69" s="56">
        <f t="shared" si="25"/>
        <v>30</v>
      </c>
      <c r="J69" s="56">
        <f t="shared" si="25"/>
        <v>0</v>
      </c>
      <c r="K69" s="56">
        <f t="shared" si="25"/>
        <v>30</v>
      </c>
      <c r="L69" s="56">
        <f t="shared" si="25"/>
        <v>0</v>
      </c>
      <c r="M69" s="56">
        <f t="shared" si="25"/>
        <v>30</v>
      </c>
      <c r="N69" s="56">
        <f t="shared" si="25"/>
        <v>2</v>
      </c>
      <c r="O69" s="86"/>
      <c r="P69" s="108">
        <f t="shared" si="25"/>
        <v>360</v>
      </c>
      <c r="Q69" s="108">
        <f t="shared" si="25"/>
        <v>30</v>
      </c>
      <c r="R69" s="108">
        <f t="shared" si="25"/>
        <v>30</v>
      </c>
      <c r="S69" s="108">
        <f t="shared" si="25"/>
        <v>3.67544536472586E-15</v>
      </c>
      <c r="T69" s="108">
        <f t="shared" si="25"/>
        <v>0</v>
      </c>
      <c r="U69" s="108">
        <f t="shared" si="25"/>
        <v>1.7881088037701564E-16</v>
      </c>
      <c r="V69" s="108">
        <f t="shared" si="25"/>
        <v>1.83772268236293E-15</v>
      </c>
      <c r="W69" s="108">
        <f t="shared" si="25"/>
        <v>30</v>
      </c>
      <c r="X69" s="108">
        <f t="shared" si="25"/>
        <v>1.83772268236293E-15</v>
      </c>
      <c r="Y69" s="108">
        <f t="shared" si="25"/>
        <v>30</v>
      </c>
      <c r="Z69" s="108">
        <f t="shared" si="25"/>
        <v>30</v>
      </c>
      <c r="AA69" s="108">
        <f>AA67-AA68</f>
        <v>2</v>
      </c>
    </row>
    <row r="70" spans="1:27" ht="12.75">
      <c r="A70" s="79"/>
      <c r="B70" s="78" t="s">
        <v>70</v>
      </c>
      <c r="C70" s="56">
        <f>AVERAGE(C18:C66)</f>
        <v>180</v>
      </c>
      <c r="D70" s="56">
        <f>AVERAGE(D18:D66)</f>
        <v>0.3061224489795919</v>
      </c>
      <c r="E70" s="56">
        <f aca="true" t="shared" si="26" ref="E70:AA70">AVERAGE(E18:E66)</f>
        <v>1.329762901265997E-15</v>
      </c>
      <c r="F70" s="56">
        <f t="shared" si="26"/>
        <v>-0.6122448979591826</v>
      </c>
      <c r="G70" s="56">
        <f t="shared" si="26"/>
        <v>-1375</v>
      </c>
      <c r="H70" s="56">
        <f t="shared" si="26"/>
        <v>38.58381884784527</v>
      </c>
      <c r="I70" s="56">
        <f t="shared" si="26"/>
        <v>38.88994129682487</v>
      </c>
      <c r="J70" s="56">
        <f t="shared" si="26"/>
        <v>0</v>
      </c>
      <c r="K70" s="56">
        <f t="shared" si="26"/>
        <v>53.889941296824865</v>
      </c>
      <c r="L70" s="56">
        <f t="shared" si="26"/>
        <v>0</v>
      </c>
      <c r="M70" s="56">
        <f>AVERAGE(M18:M66)</f>
        <v>13.889941296824865</v>
      </c>
      <c r="N70" s="56">
        <f>AVERAGE(N18:N66)</f>
        <v>0.9259960864549912</v>
      </c>
      <c r="O70" s="86"/>
      <c r="P70" s="108">
        <f t="shared" si="26"/>
        <v>180</v>
      </c>
      <c r="Q70" s="108">
        <f t="shared" si="26"/>
        <v>0.3061224489795913</v>
      </c>
      <c r="R70" s="108">
        <f t="shared" si="26"/>
        <v>1.039745458098609E-15</v>
      </c>
      <c r="S70" s="108">
        <f t="shared" si="26"/>
        <v>8.135110515049591E-32</v>
      </c>
      <c r="T70" s="108">
        <f t="shared" si="26"/>
        <v>-5.159648781942116E-30</v>
      </c>
      <c r="U70" s="108">
        <f t="shared" si="26"/>
        <v>2.3598961006552396E-15</v>
      </c>
      <c r="V70" s="108">
        <f t="shared" si="26"/>
        <v>2.3598961006552396E-15</v>
      </c>
      <c r="W70" s="108">
        <f t="shared" si="26"/>
        <v>38.52424726489584</v>
      </c>
      <c r="X70" s="108">
        <f t="shared" si="26"/>
        <v>3.2787574418367054E-15</v>
      </c>
      <c r="Y70" s="108">
        <f t="shared" si="26"/>
        <v>53.524247264895855</v>
      </c>
      <c r="Z70" s="108">
        <f>AVERAGE(Z18:Z66)</f>
        <v>13.524247264895854</v>
      </c>
      <c r="AA70" s="108">
        <f t="shared" si="26"/>
        <v>0.9016164843263895</v>
      </c>
    </row>
    <row r="71" spans="1:25" ht="12.75">
      <c r="A71" s="6"/>
      <c r="B71" s="30"/>
      <c r="C71" s="31"/>
      <c r="D71" s="32"/>
      <c r="E71" s="32"/>
      <c r="F71" s="25"/>
      <c r="G71" s="25"/>
      <c r="H71" s="25"/>
      <c r="I71" s="25"/>
      <c r="J71" s="25"/>
      <c r="K71" s="25"/>
      <c r="P71" s="31"/>
      <c r="Q71" s="32"/>
      <c r="R71" s="32"/>
      <c r="S71" s="25"/>
      <c r="T71" s="25"/>
      <c r="U71" s="25"/>
      <c r="V71" s="25"/>
      <c r="W71" s="64"/>
      <c r="X71" s="25"/>
      <c r="Y71" s="6"/>
    </row>
    <row r="72" spans="1:25" ht="12.75">
      <c r="A72" s="6"/>
      <c r="B72" s="7"/>
      <c r="C72" s="8"/>
      <c r="D72" s="5"/>
      <c r="E72" s="5"/>
      <c r="P72" s="8"/>
      <c r="Q72" s="5"/>
      <c r="R72" s="5"/>
      <c r="Y72" s="6"/>
    </row>
    <row r="73" spans="3:29" ht="12.75" customHeight="1">
      <c r="C73" s="34" t="s">
        <v>79</v>
      </c>
      <c r="D73" s="254" t="s">
        <v>30</v>
      </c>
      <c r="E73" s="254"/>
      <c r="F73" s="256" t="s">
        <v>34</v>
      </c>
      <c r="G73" s="257"/>
      <c r="H73" s="257"/>
      <c r="I73" s="258"/>
      <c r="J73" s="259"/>
      <c r="K73" s="224" t="s">
        <v>58</v>
      </c>
      <c r="L73" s="224"/>
      <c r="M73" s="202" t="s">
        <v>74</v>
      </c>
      <c r="N73" s="225"/>
      <c r="O73" s="109"/>
      <c r="P73" s="41" t="s">
        <v>51</v>
      </c>
      <c r="Q73" s="208" t="s">
        <v>55</v>
      </c>
      <c r="R73" s="208"/>
      <c r="S73" s="209" t="s">
        <v>56</v>
      </c>
      <c r="T73" s="210"/>
      <c r="U73" s="210"/>
      <c r="V73" s="211"/>
      <c r="W73" s="212"/>
      <c r="X73" s="213" t="s">
        <v>57</v>
      </c>
      <c r="Y73" s="213"/>
      <c r="Z73" s="219" t="s">
        <v>75</v>
      </c>
      <c r="AA73" s="250"/>
      <c r="AB73" s="155" t="s">
        <v>104</v>
      </c>
      <c r="AC73" s="67"/>
    </row>
    <row r="74" spans="1:29" ht="26.25" customHeight="1">
      <c r="A74" s="3"/>
      <c r="B74" s="22" t="s">
        <v>0</v>
      </c>
      <c r="C74" s="16" t="s">
        <v>1</v>
      </c>
      <c r="D74" s="17" t="s">
        <v>18</v>
      </c>
      <c r="E74" s="17" t="s">
        <v>19</v>
      </c>
      <c r="F74" s="17" t="s">
        <v>26</v>
      </c>
      <c r="G74" s="17" t="s">
        <v>27</v>
      </c>
      <c r="H74" s="16" t="s">
        <v>59</v>
      </c>
      <c r="I74" s="17" t="s">
        <v>20</v>
      </c>
      <c r="J74" s="17" t="s">
        <v>21</v>
      </c>
      <c r="K74" s="17" t="s">
        <v>22</v>
      </c>
      <c r="L74" s="17" t="s">
        <v>28</v>
      </c>
      <c r="M74" s="50" t="s">
        <v>76</v>
      </c>
      <c r="N74" s="50" t="s">
        <v>77</v>
      </c>
      <c r="P74" s="16" t="s">
        <v>1</v>
      </c>
      <c r="Q74" s="17" t="s">
        <v>18</v>
      </c>
      <c r="R74" s="17" t="s">
        <v>19</v>
      </c>
      <c r="S74" s="17" t="s">
        <v>26</v>
      </c>
      <c r="T74" s="17" t="s">
        <v>27</v>
      </c>
      <c r="U74" s="16" t="s">
        <v>59</v>
      </c>
      <c r="V74" s="50" t="s">
        <v>46</v>
      </c>
      <c r="W74" s="17" t="s">
        <v>21</v>
      </c>
      <c r="X74" s="17" t="s">
        <v>22</v>
      </c>
      <c r="Y74" s="17" t="s">
        <v>28</v>
      </c>
      <c r="Z74" s="50" t="s">
        <v>76</v>
      </c>
      <c r="AA74" s="50" t="s">
        <v>78</v>
      </c>
      <c r="AB74" s="113" t="s">
        <v>87</v>
      </c>
      <c r="AC74" s="11" t="s">
        <v>86</v>
      </c>
    </row>
    <row r="75" spans="1:29" ht="12.75">
      <c r="A75" s="6"/>
      <c r="B75" s="59">
        <v>0</v>
      </c>
      <c r="C75" s="122">
        <f>Animation!I12</f>
        <v>45</v>
      </c>
      <c r="D75" s="21">
        <f>$I$2*COS(PI()*C75/180)</f>
        <v>10.606601717798213</v>
      </c>
      <c r="E75" s="21">
        <f>$I$2*SIN(PI()*C75/180)</f>
        <v>10.606601717798211</v>
      </c>
      <c r="F75" s="21">
        <f>(2*TAN(PI()/180*$I$7)*$I$8-2*$I$2*COS(PI()/180*C75)-2*$I$2*TAN(PI()/180*$I$7)*SIN(PI()/180*C75))/(1+TAN(PI()/180*$I$7)^2)</f>
        <v>-21.213203435596427</v>
      </c>
      <c r="G75" s="29">
        <f>($I$8^2+$I$2^2-2*$I$2*$I$8*SIN(PI()/180*C75)-$I$3^2)/(1+TAN(PI()/180*$I$7)^2)</f>
        <v>-1375</v>
      </c>
      <c r="H75" s="29">
        <f>((F75/2)^2-G75)^0.5</f>
        <v>38.568121551353784</v>
      </c>
      <c r="I75" s="21">
        <f>-F75/2+$I$10*H75</f>
        <v>49.174723269152</v>
      </c>
      <c r="J75" s="21">
        <f>TAN(PI()/180*$I$7)*I75+$I$8</f>
        <v>0</v>
      </c>
      <c r="K75" s="18">
        <f>(I75+$I$10*$I$11*$I$9*COS(PI()/180*$I$7))</f>
        <v>64.174723269152</v>
      </c>
      <c r="L75" s="81">
        <f>J75+$I$10*$I$11*$I$9*SIN(PI()*$I$7/180)</f>
        <v>0</v>
      </c>
      <c r="M75" s="21">
        <f>(((I75-$I$5)^2+(J75-$I$6)^2)^0.5-(($I$68-$I$5)^2+($J$68-$I$6)^2)^0.5)</f>
        <v>24.174723269151997</v>
      </c>
      <c r="N75" s="21">
        <f>M75/$I$2</f>
        <v>1.6116482179434664</v>
      </c>
      <c r="P75" s="26">
        <f>$C$75+$V$4</f>
        <v>45</v>
      </c>
      <c r="Q75" s="21">
        <f>$V$2*COS(PI()/180*P75)</f>
        <v>10.606601717798213</v>
      </c>
      <c r="R75" s="21">
        <f>$V$2*SIN(PI()/180*P75)</f>
        <v>10.606601717798211</v>
      </c>
      <c r="S75" s="21">
        <f>(2*TAN(PI()/180*$V$7)*$V$8-2*$V$2*COS(PI()/180*P75)-2*$V$2*TAN(PI()/180*$V$7)*SIN(PI()/180*P75))/(1+TAN(PI()/180*$V$7)^2)</f>
        <v>-1.2994661706391595E-15</v>
      </c>
      <c r="T75" s="29">
        <f>($V$8^2+$V$2^2-2*$V$2*$V$8*SIN(PI()/180*P75)-$V$3^2)/(1+TAN(PI()/180*$V$7)^2)</f>
        <v>-5.159648781942116E-30</v>
      </c>
      <c r="U75" s="29">
        <f>((S75/2)^2-T75)^0.5</f>
        <v>2.362583726368447E-15</v>
      </c>
      <c r="V75" s="21">
        <f>-S75/2+$V$10*U75</f>
        <v>3.0123168116880264E-15</v>
      </c>
      <c r="W75" s="21">
        <f>TAN(PI()/180*$V$7)*V75+$V$8</f>
        <v>49.174723269152</v>
      </c>
      <c r="X75" s="21">
        <f>V75+$V$10*$V$11*$V$9*COS(PI()/180*$V$7)</f>
        <v>3.9311781528694915E-15</v>
      </c>
      <c r="Y75" s="21">
        <f>W75+$V$10*$V$11*$V$9*SIN(PI()*$V$7/180)</f>
        <v>64.174723269152</v>
      </c>
      <c r="Z75" s="21">
        <f>(((V75-$V$5)^2+(W75-$V$6)^2)^0.5-(($V$68-$V$5)^2+($W$68-$V$6)^2)^0.5)</f>
        <v>24.174723269151997</v>
      </c>
      <c r="AA75" s="21">
        <f>Z75/$I$2</f>
        <v>1.6116482179434664</v>
      </c>
      <c r="AB75" s="19">
        <f>C75-90</f>
        <v>-45</v>
      </c>
      <c r="AC75" s="19">
        <v>0</v>
      </c>
    </row>
    <row r="76" spans="2:29" ht="12.75">
      <c r="B76" s="15" t="s">
        <v>29</v>
      </c>
      <c r="C76" s="14" t="s">
        <v>29</v>
      </c>
      <c r="D76" s="27">
        <v>0</v>
      </c>
      <c r="E76" s="27">
        <v>0</v>
      </c>
      <c r="F76" s="15" t="s">
        <v>29</v>
      </c>
      <c r="G76" s="15" t="s">
        <v>29</v>
      </c>
      <c r="H76" s="15" t="s">
        <v>29</v>
      </c>
      <c r="I76" s="28">
        <f>D75</f>
        <v>10.606601717798213</v>
      </c>
      <c r="J76" s="28">
        <f>E75</f>
        <v>10.606601717798211</v>
      </c>
      <c r="K76" s="33">
        <f>I75</f>
        <v>49.174723269152</v>
      </c>
      <c r="L76" s="33">
        <f>J75</f>
        <v>0</v>
      </c>
      <c r="M76" s="33" t="s">
        <v>29</v>
      </c>
      <c r="N76" s="92" t="s">
        <v>29</v>
      </c>
      <c r="P76" s="15" t="s">
        <v>29</v>
      </c>
      <c r="Q76" s="27">
        <v>0</v>
      </c>
      <c r="R76" s="27">
        <v>0</v>
      </c>
      <c r="S76" s="15" t="s">
        <v>29</v>
      </c>
      <c r="T76" s="15" t="s">
        <v>29</v>
      </c>
      <c r="U76" s="15" t="s">
        <v>29</v>
      </c>
      <c r="V76" s="28">
        <f>Q75</f>
        <v>10.606601717798213</v>
      </c>
      <c r="W76" s="28">
        <f>R75</f>
        <v>10.606601717798211</v>
      </c>
      <c r="X76" s="33">
        <f>V75</f>
        <v>3.0123168116880264E-15</v>
      </c>
      <c r="Y76" s="33">
        <f>W75</f>
        <v>49.174723269152</v>
      </c>
      <c r="Z76" s="92" t="s">
        <v>29</v>
      </c>
      <c r="AA76" s="92" t="s">
        <v>29</v>
      </c>
      <c r="AB76" s="67"/>
      <c r="AC76" s="67"/>
    </row>
    <row r="77" spans="11:27" ht="12.75" customHeight="1">
      <c r="K77" s="198" t="s">
        <v>35</v>
      </c>
      <c r="L77" s="198"/>
      <c r="M77" s="111"/>
      <c r="N77" s="39" t="s">
        <v>80</v>
      </c>
      <c r="X77" s="206" t="s">
        <v>35</v>
      </c>
      <c r="Y77" s="206"/>
      <c r="Z77" s="112"/>
      <c r="AA77" s="40" t="s">
        <v>85</v>
      </c>
    </row>
    <row r="78" spans="11:27" ht="12.75">
      <c r="K78" s="20">
        <f>-($I$2+$I$3+$I$9+20)*COS(PI()*$I$7/180)</f>
        <v>-90</v>
      </c>
      <c r="L78" s="36">
        <f>TAN(PI()*$I$7/180)*K78+$I$8</f>
        <v>0</v>
      </c>
      <c r="M78" s="36" t="s">
        <v>81</v>
      </c>
      <c r="N78" s="21">
        <f>N67-N68-N75</f>
        <v>0.38835178205653365</v>
      </c>
      <c r="X78" s="20">
        <f>-($V$2+$V$3+$V$9+20)*COS(PI()*$V$7/180)</f>
        <v>-5.51316804708879E-15</v>
      </c>
      <c r="Y78" s="36">
        <f>TAN(PI()*$V$7/180)*X78+$V$8</f>
        <v>-90</v>
      </c>
      <c r="Z78" s="36" t="s">
        <v>83</v>
      </c>
      <c r="AA78" s="21">
        <f>(AA67-AA68-AA75)</f>
        <v>0.38835178205653365</v>
      </c>
    </row>
    <row r="79" spans="11:27" ht="12.75">
      <c r="K79" s="20">
        <f>($I$2+$I$3+$I$9+20)*COS(PI()*$I$7/180)</f>
        <v>90</v>
      </c>
      <c r="L79" s="36">
        <f>TAN(PI()/180*$I$7)*K79+$I$8</f>
        <v>0</v>
      </c>
      <c r="M79" s="36" t="s">
        <v>82</v>
      </c>
      <c r="N79" s="21">
        <f>N75</f>
        <v>1.6116482179434664</v>
      </c>
      <c r="X79" s="20">
        <f>($V$2+$V$3+$V$9+20)*COS(PI()*$V$7/180)</f>
        <v>5.51316804708879E-15</v>
      </c>
      <c r="Y79" s="37">
        <f>TAN(PI()/180*$V$7)*X79+$V$8</f>
        <v>90</v>
      </c>
      <c r="Z79" s="36" t="s">
        <v>84</v>
      </c>
      <c r="AA79" s="21">
        <f>AA75</f>
        <v>1.6116482179434664</v>
      </c>
    </row>
    <row r="80" spans="11:27" ht="12.75" customHeight="1">
      <c r="K80" s="198" t="s">
        <v>40</v>
      </c>
      <c r="L80" s="198"/>
      <c r="M80" s="110"/>
      <c r="N80" s="110"/>
      <c r="X80" s="206" t="s">
        <v>40</v>
      </c>
      <c r="Y80" s="206"/>
      <c r="Z80" s="110"/>
      <c r="AA80" s="110"/>
    </row>
    <row r="81" spans="11:27" ht="12.75">
      <c r="K81" s="18">
        <f>K75</f>
        <v>64.174723269152</v>
      </c>
      <c r="L81" s="18">
        <f>L75</f>
        <v>0</v>
      </c>
      <c r="M81" s="21"/>
      <c r="N81" s="21"/>
      <c r="X81" s="18">
        <f>X75</f>
        <v>3.9311781528694915E-15</v>
      </c>
      <c r="Y81" s="18">
        <f>Y75</f>
        <v>64.174723269152</v>
      </c>
      <c r="Z81" s="21"/>
      <c r="AA81" s="21"/>
    </row>
  </sheetData>
  <sheetProtection sheet="1" objects="1" scenarios="1"/>
  <mergeCells count="46">
    <mergeCell ref="Z16:AA16"/>
    <mergeCell ref="Z73:AA73"/>
    <mergeCell ref="M73:N73"/>
    <mergeCell ref="C7:G7"/>
    <mergeCell ref="C9:G9"/>
    <mergeCell ref="D73:E73"/>
    <mergeCell ref="P12:S12"/>
    <mergeCell ref="P13:S13"/>
    <mergeCell ref="P14:S14"/>
    <mergeCell ref="F73:J73"/>
    <mergeCell ref="C5:G6"/>
    <mergeCell ref="C1:G1"/>
    <mergeCell ref="C2:G2"/>
    <mergeCell ref="C3:G3"/>
    <mergeCell ref="C4:G4"/>
    <mergeCell ref="C10:G10"/>
    <mergeCell ref="C8:G8"/>
    <mergeCell ref="P1:T1"/>
    <mergeCell ref="P2:T2"/>
    <mergeCell ref="P3:T3"/>
    <mergeCell ref="P10:T10"/>
    <mergeCell ref="P4:T4"/>
    <mergeCell ref="P7:T7"/>
    <mergeCell ref="P5:T6"/>
    <mergeCell ref="K80:L80"/>
    <mergeCell ref="Q16:R16"/>
    <mergeCell ref="S16:W16"/>
    <mergeCell ref="K16:L16"/>
    <mergeCell ref="K73:L73"/>
    <mergeCell ref="M16:N16"/>
    <mergeCell ref="K77:L77"/>
    <mergeCell ref="X80:Y80"/>
    <mergeCell ref="X16:Y16"/>
    <mergeCell ref="Q73:R73"/>
    <mergeCell ref="S73:W73"/>
    <mergeCell ref="X73:Y73"/>
    <mergeCell ref="P8:T8"/>
    <mergeCell ref="X77:Y77"/>
    <mergeCell ref="P9:T9"/>
    <mergeCell ref="P11:T11"/>
    <mergeCell ref="D16:E16"/>
    <mergeCell ref="C12:F12"/>
    <mergeCell ref="C13:F13"/>
    <mergeCell ref="C11:G11"/>
    <mergeCell ref="C14:F14"/>
    <mergeCell ref="F16:J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2009-11-11T18:57:20Z</cp:lastPrinted>
  <dcterms:created xsi:type="dcterms:W3CDTF">2009-10-16T17:39:02Z</dcterms:created>
  <dcterms:modified xsi:type="dcterms:W3CDTF">2014-05-08T14:46:39Z</dcterms:modified>
  <cp:category/>
  <cp:version/>
  <cp:contentType/>
  <cp:contentStatus/>
</cp:coreProperties>
</file>